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https://steunpuntkerkenwerk-my.sharepoint.com/personal/m_apperloo_steunpuntkerkenwerk_nl/Documents/Actief/Plaatsen/"/>
    </mc:Choice>
  </mc:AlternateContent>
  <xr:revisionPtr revIDLastSave="137" documentId="8_{15B2A3E9-11C8-4C1B-B014-29961BCCF2AD}" xr6:coauthVersionLast="47" xr6:coauthVersionMax="47" xr10:uidLastSave="{CB47312F-46AB-4AA1-8BBC-305EDD0343C8}"/>
  <bookViews>
    <workbookView xWindow="22932" yWindow="3132" windowWidth="23256" windowHeight="12576" firstSheet="3" activeTab="3" xr2:uid="{701416E4-4AB2-4EE5-93EA-F6308E3C5538}"/>
  </bookViews>
  <sheets>
    <sheet name="Actiepunten" sheetId="22" r:id="rId1"/>
    <sheet name="Algemene gegevens" sheetId="1" r:id="rId2"/>
    <sheet name="Voorblad" sheetId="5" r:id="rId3"/>
    <sheet name="Inhoudsopgave" sheetId="6" r:id="rId4"/>
    <sheet name="Jaarverslag" sheetId="21" r:id="rId5"/>
    <sheet name="Waarderingsgrondslagen" sheetId="17" r:id="rId6"/>
    <sheet name="Balans" sheetId="8" r:id="rId7"/>
    <sheet name="Staat van baten en lasten" sheetId="11" r:id="rId8"/>
    <sheet name="Kasstroomoverzicht" sheetId="12" r:id="rId9"/>
    <sheet name="Toelichting balans" sheetId="14" r:id="rId10"/>
    <sheet name="Toelichting baten-lasten" sheetId="15" r:id="rId11"/>
    <sheet name="Kengetallen bij de jaarrekening" sheetId="19" r:id="rId12"/>
    <sheet name="Verslag kascontrolecommissie" sheetId="20" r:id="rId13"/>
    <sheet name="Tabel jaarrekening grootboek" sheetId="2" r:id="rId14"/>
    <sheet name="Tabel jaarrek grootboek t-1" sheetId="23" r:id="rId15"/>
    <sheet name="Tabel jaarrekening subverdichti" sheetId="10" r:id="rId16"/>
    <sheet name="Tabel jaarrekening hoofdverdich" sheetId="9" r:id="rId17"/>
    <sheet name="Subverdichting" sheetId="3" r:id="rId18"/>
    <sheet name="Hoofdverdichting" sheetId="4" r:id="rId19"/>
  </sheets>
  <definedNames>
    <definedName name="_xlnm.Print_Titles" localSheetId="10">'Toelichting baten-lasten'!$3:$4</definedName>
    <definedName name="datumjr">'Algemene gegevens'!$B$7</definedName>
    <definedName name="omschrijving">'Algemene gegevens'!$B$5</definedName>
    <definedName name="verslagjaar">'Algemene gegevens'!$B$4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9" i="20" l="1"/>
  <c r="A5" i="20"/>
  <c r="A1" i="12" l="1"/>
  <c r="C4" i="12"/>
  <c r="B4" i="12"/>
  <c r="A44" i="15" l="1"/>
  <c r="A43" i="15"/>
  <c r="G91" i="15"/>
  <c r="G31" i="11" s="1"/>
  <c r="E91" i="15"/>
  <c r="E31" i="11" s="1"/>
  <c r="C91" i="15"/>
  <c r="C92" i="15" s="1"/>
  <c r="E88" i="15"/>
  <c r="E89" i="15" s="1"/>
  <c r="E29" i="11" s="1"/>
  <c r="G87" i="15"/>
  <c r="E87" i="15"/>
  <c r="C87" i="15"/>
  <c r="C88" i="15" s="1"/>
  <c r="C89" i="15" s="1"/>
  <c r="C29" i="11" s="1"/>
  <c r="G85" i="15"/>
  <c r="G88" i="15" s="1"/>
  <c r="G89" i="15" s="1"/>
  <c r="G29" i="11" s="1"/>
  <c r="E85" i="15"/>
  <c r="C85" i="15"/>
  <c r="G80" i="15"/>
  <c r="E80" i="15"/>
  <c r="C80" i="15"/>
  <c r="G79" i="15"/>
  <c r="E79" i="15"/>
  <c r="C79" i="15"/>
  <c r="G77" i="15"/>
  <c r="E77" i="15"/>
  <c r="E78" i="15" s="1"/>
  <c r="C77" i="15"/>
  <c r="G73" i="15"/>
  <c r="G71" i="15" s="1"/>
  <c r="G74" i="15" s="1"/>
  <c r="G26" i="11" s="1"/>
  <c r="E73" i="15"/>
  <c r="C73" i="15"/>
  <c r="C71" i="15" s="1"/>
  <c r="C74" i="15" s="1"/>
  <c r="C26" i="11" s="1"/>
  <c r="E71" i="15"/>
  <c r="E74" i="15" s="1"/>
  <c r="E26" i="11" s="1"/>
  <c r="G66" i="15"/>
  <c r="E66" i="15"/>
  <c r="C66" i="15"/>
  <c r="G58" i="15"/>
  <c r="E58" i="15"/>
  <c r="C58" i="15"/>
  <c r="C68" i="15" s="1"/>
  <c r="C24" i="11" s="1"/>
  <c r="G50" i="15"/>
  <c r="E50" i="15"/>
  <c r="C50" i="15"/>
  <c r="G48" i="15"/>
  <c r="E48" i="15"/>
  <c r="C48" i="15"/>
  <c r="C31" i="11" l="1"/>
  <c r="E68" i="15"/>
  <c r="E24" i="11" s="1"/>
  <c r="G78" i="15"/>
  <c r="G82" i="15" s="1"/>
  <c r="G27" i="11" s="1"/>
  <c r="E92" i="15"/>
  <c r="G68" i="15"/>
  <c r="G24" i="11" s="1"/>
  <c r="E82" i="15"/>
  <c r="E27" i="11" s="1"/>
  <c r="C78" i="15"/>
  <c r="C82" i="15" s="1"/>
  <c r="C27" i="11" s="1"/>
  <c r="G92" i="15"/>
  <c r="E51" i="15"/>
  <c r="E52" i="15" s="1"/>
  <c r="E22" i="11" s="1"/>
  <c r="G51" i="15"/>
  <c r="G52" i="15" s="1"/>
  <c r="G22" i="11" s="1"/>
  <c r="C51" i="15"/>
  <c r="C52" i="15" s="1"/>
  <c r="C22" i="11" s="1"/>
  <c r="G38" i="15"/>
  <c r="E38" i="15"/>
  <c r="C38" i="15"/>
  <c r="G37" i="15"/>
  <c r="E37" i="15"/>
  <c r="C37" i="15"/>
  <c r="G34" i="15"/>
  <c r="G33" i="15"/>
  <c r="G32" i="15"/>
  <c r="E34" i="15"/>
  <c r="E33" i="15"/>
  <c r="E32" i="15"/>
  <c r="C34" i="15"/>
  <c r="C33" i="15"/>
  <c r="C32" i="15"/>
  <c r="G25" i="15"/>
  <c r="E25" i="15"/>
  <c r="C25" i="15"/>
  <c r="G24" i="15"/>
  <c r="E24" i="15"/>
  <c r="C24" i="15"/>
  <c r="G23" i="15"/>
  <c r="E23" i="15"/>
  <c r="C23" i="15"/>
  <c r="G22" i="15"/>
  <c r="E22" i="15"/>
  <c r="C22" i="15"/>
  <c r="G21" i="15"/>
  <c r="E21" i="15"/>
  <c r="C21" i="15"/>
  <c r="G17" i="15"/>
  <c r="E17" i="15"/>
  <c r="C17" i="15"/>
  <c r="G16" i="15"/>
  <c r="E16" i="15"/>
  <c r="C16" i="15"/>
  <c r="G15" i="15"/>
  <c r="E15" i="15"/>
  <c r="C15" i="15"/>
  <c r="G14" i="15"/>
  <c r="E14" i="15"/>
  <c r="C14" i="15"/>
  <c r="G10" i="15"/>
  <c r="E10" i="15"/>
  <c r="C10" i="15"/>
  <c r="G9" i="15"/>
  <c r="E9" i="15"/>
  <c r="C9" i="15"/>
  <c r="A1" i="15"/>
  <c r="I69" i="14"/>
  <c r="I67" i="14"/>
  <c r="F70" i="14"/>
  <c r="E70" i="14"/>
  <c r="F63" i="14"/>
  <c r="E63" i="14"/>
  <c r="F62" i="14"/>
  <c r="E62" i="14"/>
  <c r="F61" i="14"/>
  <c r="E61" i="14"/>
  <c r="G42" i="11"/>
  <c r="E42" i="11"/>
  <c r="C42" i="11"/>
  <c r="G14" i="11"/>
  <c r="E14" i="11"/>
  <c r="C14" i="11"/>
  <c r="G12" i="11"/>
  <c r="E12" i="11"/>
  <c r="C12" i="11"/>
  <c r="G10" i="11"/>
  <c r="E10" i="11"/>
  <c r="C10" i="11"/>
  <c r="A1" i="11"/>
  <c r="I18" i="6"/>
  <c r="F141" i="14"/>
  <c r="F139" i="14"/>
  <c r="F138" i="14"/>
  <c r="F137" i="14"/>
  <c r="F136" i="14"/>
  <c r="F135" i="14"/>
  <c r="F134" i="14"/>
  <c r="F133" i="14"/>
  <c r="F132" i="14"/>
  <c r="F140" i="14" s="1"/>
  <c r="C141" i="14"/>
  <c r="C139" i="14"/>
  <c r="C138" i="14"/>
  <c r="C137" i="14"/>
  <c r="C136" i="14"/>
  <c r="C135" i="14"/>
  <c r="C134" i="14"/>
  <c r="C133" i="14"/>
  <c r="C132" i="14"/>
  <c r="C140" i="14" s="1"/>
  <c r="F131" i="14"/>
  <c r="C131" i="14"/>
  <c r="C16" i="11" l="1"/>
  <c r="F10" i="20" s="1"/>
  <c r="E16" i="11"/>
  <c r="G16" i="11"/>
  <c r="G31" i="15"/>
  <c r="G40" i="15" s="1"/>
  <c r="G21" i="11" s="1"/>
  <c r="E11" i="15"/>
  <c r="E31" i="15"/>
  <c r="E40" i="15" s="1"/>
  <c r="E21" i="11" s="1"/>
  <c r="C31" i="15"/>
  <c r="C40" i="15" s="1"/>
  <c r="C21" i="11" s="1"/>
  <c r="G11" i="15"/>
  <c r="C18" i="15"/>
  <c r="C26" i="15"/>
  <c r="E18" i="15"/>
  <c r="G18" i="15"/>
  <c r="E26" i="15"/>
  <c r="G26" i="15"/>
  <c r="C11" i="15"/>
  <c r="G143" i="14"/>
  <c r="D143" i="14"/>
  <c r="F111" i="14"/>
  <c r="C111" i="14"/>
  <c r="F109" i="14" l="1"/>
  <c r="G112" i="14" s="1"/>
  <c r="G114" i="14" s="1"/>
  <c r="C109" i="14"/>
  <c r="F103" i="14"/>
  <c r="C103" i="14"/>
  <c r="F101" i="14"/>
  <c r="C101" i="14"/>
  <c r="G97" i="14"/>
  <c r="D97" i="14"/>
  <c r="G92" i="14"/>
  <c r="D92" i="14"/>
  <c r="G88" i="14"/>
  <c r="D88" i="14"/>
  <c r="G83" i="14"/>
  <c r="D83" i="14"/>
  <c r="D71" i="14"/>
  <c r="C63" i="14"/>
  <c r="G63" i="14" s="1"/>
  <c r="C62" i="14"/>
  <c r="F34" i="8" s="1"/>
  <c r="C61" i="14"/>
  <c r="F33" i="8" s="1"/>
  <c r="G51" i="14"/>
  <c r="G50" i="14" s="1"/>
  <c r="D51" i="14"/>
  <c r="D50" i="14" s="1"/>
  <c r="E52" i="14" s="1"/>
  <c r="D22" i="8" s="1"/>
  <c r="B8" i="12" s="1"/>
  <c r="D42" i="14"/>
  <c r="D38" i="14"/>
  <c r="G38" i="14"/>
  <c r="G34" i="14"/>
  <c r="E34" i="14"/>
  <c r="D34" i="14"/>
  <c r="C34" i="14"/>
  <c r="G10" i="14"/>
  <c r="F21" i="14"/>
  <c r="G20" i="14"/>
  <c r="G21" i="14" s="1"/>
  <c r="E23" i="14"/>
  <c r="F20" i="14"/>
  <c r="G22" i="14"/>
  <c r="C20" i="14"/>
  <c r="C21" i="14" s="1"/>
  <c r="E13" i="14"/>
  <c r="C10" i="14"/>
  <c r="F8" i="8" s="1"/>
  <c r="F53" i="8"/>
  <c r="C53" i="8"/>
  <c r="F49" i="8"/>
  <c r="C49" i="8"/>
  <c r="G45" i="8"/>
  <c r="C20" i="12" s="1"/>
  <c r="E20" i="12" s="1"/>
  <c r="D45" i="8"/>
  <c r="B20" i="12" s="1"/>
  <c r="G43" i="8"/>
  <c r="C19" i="12" s="1"/>
  <c r="D43" i="8"/>
  <c r="B19" i="12" s="1"/>
  <c r="F39" i="8"/>
  <c r="C39" i="8"/>
  <c r="G22" i="8"/>
  <c r="C8" i="12" s="1"/>
  <c r="F17" i="8"/>
  <c r="G42" i="14" s="1"/>
  <c r="I6" i="6"/>
  <c r="H52" i="14" l="1"/>
  <c r="F18" i="8"/>
  <c r="G45" i="14" s="1"/>
  <c r="H46" i="14" s="1"/>
  <c r="E19" i="12"/>
  <c r="C8" i="8"/>
  <c r="D112" i="14"/>
  <c r="D114" i="14" s="1"/>
  <c r="F8" i="12"/>
  <c r="G104" i="14"/>
  <c r="G106" i="14" s="1"/>
  <c r="D104" i="14"/>
  <c r="D106" i="14" s="1"/>
  <c r="D93" i="14"/>
  <c r="G93" i="14"/>
  <c r="G61" i="14"/>
  <c r="C33" i="8" s="1"/>
  <c r="G62" i="14"/>
  <c r="C34" i="8" s="1"/>
  <c r="C17" i="8"/>
  <c r="D45" i="14"/>
  <c r="C18" i="8" s="1"/>
  <c r="C23" i="14"/>
  <c r="F9" i="8" s="1"/>
  <c r="G11" i="8" s="1"/>
  <c r="C16" i="12" s="1"/>
  <c r="D20" i="14"/>
  <c r="D21" i="14"/>
  <c r="G13" i="14"/>
  <c r="F23" i="14"/>
  <c r="F10" i="14" s="1"/>
  <c r="D10" i="14" s="1"/>
  <c r="D13" i="14" s="1"/>
  <c r="G23" i="14"/>
  <c r="C9" i="8" s="1"/>
  <c r="D11" i="8" s="1"/>
  <c r="B16" i="12" s="1"/>
  <c r="C13" i="14"/>
  <c r="I8" i="6"/>
  <c r="I10" i="6" s="1"/>
  <c r="I12" i="6" s="1"/>
  <c r="I14" i="6" s="1"/>
  <c r="I16" i="6" s="1"/>
  <c r="C69" i="14" l="1"/>
  <c r="C60" i="14" s="1"/>
  <c r="C64" i="14" s="1"/>
  <c r="G48" i="11"/>
  <c r="G69" i="14"/>
  <c r="E16" i="12"/>
  <c r="E46" i="14"/>
  <c r="D23" i="14"/>
  <c r="F13" i="14"/>
  <c r="I20" i="6"/>
  <c r="C71" i="14" l="1"/>
  <c r="F38" i="8"/>
  <c r="F40" i="8" s="1"/>
  <c r="F32" i="8"/>
  <c r="C38" i="8"/>
  <c r="C40" i="8" s="1"/>
  <c r="F69" i="14"/>
  <c r="F71" i="14" s="1"/>
  <c r="E69" i="14"/>
  <c r="G71" i="14"/>
  <c r="A65" i="5"/>
  <c r="H4" i="9"/>
  <c r="H5" i="9"/>
  <c r="H6" i="9"/>
  <c r="H7" i="9"/>
  <c r="H8" i="9"/>
  <c r="H9" i="9"/>
  <c r="H10" i="9"/>
  <c r="H11" i="9"/>
  <c r="H12" i="9"/>
  <c r="H13" i="9"/>
  <c r="H14" i="9"/>
  <c r="H15" i="9"/>
  <c r="H16" i="9"/>
  <c r="H17" i="9"/>
  <c r="H18" i="9"/>
  <c r="H19" i="9"/>
  <c r="H4" i="10"/>
  <c r="H5" i="10"/>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C48" i="11" l="1"/>
  <c r="E71" i="14"/>
  <c r="A67" i="5"/>
  <c r="A20" i="6" l="1"/>
  <c r="C3" i="19" l="1"/>
  <c r="D3" i="19"/>
  <c r="A18" i="6"/>
  <c r="A1" i="8"/>
  <c r="A6" i="6"/>
  <c r="A1" i="14"/>
  <c r="A8" i="6" l="1"/>
  <c r="A14" i="6"/>
  <c r="A16" i="6"/>
  <c r="G4" i="15"/>
  <c r="E4" i="15"/>
  <c r="C4" i="15"/>
  <c r="G5" i="11" l="1"/>
  <c r="E5" i="11"/>
  <c r="C5" i="11"/>
  <c r="G39" i="10"/>
  <c r="F39" i="10"/>
  <c r="E39" i="10"/>
  <c r="G38" i="10"/>
  <c r="F38" i="10"/>
  <c r="E38" i="10"/>
  <c r="G37" i="10"/>
  <c r="F37" i="10"/>
  <c r="E37" i="10"/>
  <c r="G36" i="10"/>
  <c r="F36" i="10"/>
  <c r="E36" i="10"/>
  <c r="G35" i="10"/>
  <c r="F35" i="10"/>
  <c r="E35" i="10"/>
  <c r="G34" i="10"/>
  <c r="F34" i="10"/>
  <c r="E34" i="10"/>
  <c r="G33" i="10"/>
  <c r="F33" i="10"/>
  <c r="E33" i="10"/>
  <c r="G32" i="10"/>
  <c r="F32" i="10"/>
  <c r="E32" i="10"/>
  <c r="G31" i="10"/>
  <c r="F31" i="10"/>
  <c r="E31" i="10"/>
  <c r="G30" i="10"/>
  <c r="F30" i="10"/>
  <c r="E30" i="10"/>
  <c r="G29" i="10"/>
  <c r="F29" i="10"/>
  <c r="E29" i="10"/>
  <c r="G28" i="10"/>
  <c r="F28" i="10"/>
  <c r="E28" i="10"/>
  <c r="G27" i="10"/>
  <c r="F27" i="10"/>
  <c r="E27" i="10"/>
  <c r="G26" i="10"/>
  <c r="F26" i="10"/>
  <c r="E26" i="10"/>
  <c r="G25" i="10"/>
  <c r="F25" i="10"/>
  <c r="E25" i="10"/>
  <c r="G24" i="10"/>
  <c r="F24" i="10"/>
  <c r="E24" i="10"/>
  <c r="G23" i="10"/>
  <c r="F23" i="10"/>
  <c r="E23" i="10"/>
  <c r="G22" i="10"/>
  <c r="F22" i="10"/>
  <c r="E22" i="10"/>
  <c r="G21" i="10"/>
  <c r="F21" i="10"/>
  <c r="E21" i="10"/>
  <c r="G20" i="10"/>
  <c r="F20" i="10"/>
  <c r="E20" i="10"/>
  <c r="G19" i="10"/>
  <c r="F19" i="10"/>
  <c r="E19" i="10"/>
  <c r="G18" i="10"/>
  <c r="F18" i="10"/>
  <c r="E18" i="10"/>
  <c r="G17" i="10"/>
  <c r="F17" i="10"/>
  <c r="E17" i="10"/>
  <c r="G16" i="10"/>
  <c r="F16" i="10"/>
  <c r="E16" i="10"/>
  <c r="G15" i="10"/>
  <c r="F15" i="10"/>
  <c r="E15" i="10"/>
  <c r="G14" i="10"/>
  <c r="F14" i="10"/>
  <c r="E14" i="10"/>
  <c r="G13" i="10"/>
  <c r="F13" i="10"/>
  <c r="E13" i="10"/>
  <c r="G12" i="10"/>
  <c r="F12" i="10"/>
  <c r="E12" i="10"/>
  <c r="G11" i="10"/>
  <c r="F11" i="10"/>
  <c r="E11" i="10"/>
  <c r="G10" i="10"/>
  <c r="F10" i="10"/>
  <c r="E10" i="10"/>
  <c r="G9" i="10"/>
  <c r="F9" i="10"/>
  <c r="E9" i="10"/>
  <c r="G8" i="10"/>
  <c r="F8" i="10"/>
  <c r="E8" i="10"/>
  <c r="G7" i="10"/>
  <c r="F7" i="10"/>
  <c r="E7" i="10"/>
  <c r="G6" i="10"/>
  <c r="F6" i="10"/>
  <c r="E6" i="10"/>
  <c r="G5" i="10"/>
  <c r="F5" i="10"/>
  <c r="E5" i="10"/>
  <c r="G19" i="9"/>
  <c r="F19" i="9"/>
  <c r="E19" i="9"/>
  <c r="G18" i="9"/>
  <c r="F18" i="9"/>
  <c r="E18" i="9"/>
  <c r="G17" i="9"/>
  <c r="F17" i="9"/>
  <c r="E17" i="9"/>
  <c r="G16" i="9"/>
  <c r="F16" i="9"/>
  <c r="E16" i="9"/>
  <c r="G15" i="9"/>
  <c r="F15" i="9"/>
  <c r="E15" i="9"/>
  <c r="G14" i="9"/>
  <c r="F14" i="9"/>
  <c r="E14" i="9"/>
  <c r="G13" i="9"/>
  <c r="F13" i="9"/>
  <c r="E13" i="9"/>
  <c r="G12" i="9"/>
  <c r="F12" i="9"/>
  <c r="E12" i="9"/>
  <c r="G11" i="9"/>
  <c r="F11" i="9"/>
  <c r="E11" i="9"/>
  <c r="G10" i="9"/>
  <c r="F10" i="9"/>
  <c r="E10" i="9"/>
  <c r="D54" i="8" s="1"/>
  <c r="B21" i="12" s="1"/>
  <c r="G9" i="9"/>
  <c r="F9" i="9"/>
  <c r="E9" i="9"/>
  <c r="G8" i="9"/>
  <c r="F8" i="9"/>
  <c r="E8" i="9"/>
  <c r="G7" i="9"/>
  <c r="F7" i="9"/>
  <c r="E7" i="9"/>
  <c r="G6" i="9"/>
  <c r="F6" i="9"/>
  <c r="E6" i="9"/>
  <c r="G5" i="9"/>
  <c r="F5" i="9"/>
  <c r="E5" i="9"/>
  <c r="G4" i="10"/>
  <c r="F4" i="10"/>
  <c r="E4" i="10"/>
  <c r="B39" i="10"/>
  <c r="B37" i="10"/>
  <c r="B20" i="10"/>
  <c r="B19" i="10"/>
  <c r="B21" i="10"/>
  <c r="B18" i="10"/>
  <c r="B38" i="10"/>
  <c r="B34" i="10"/>
  <c r="B36" i="10"/>
  <c r="B35" i="10"/>
  <c r="B33" i="10"/>
  <c r="B32" i="10"/>
  <c r="B31" i="10"/>
  <c r="B30" i="10"/>
  <c r="B29" i="10"/>
  <c r="B28" i="10"/>
  <c r="B27" i="10"/>
  <c r="B26" i="10"/>
  <c r="B25" i="10"/>
  <c r="B24" i="10"/>
  <c r="B23" i="10"/>
  <c r="B22" i="10"/>
  <c r="B17" i="10"/>
  <c r="B16" i="10"/>
  <c r="B14" i="10"/>
  <c r="B15" i="10"/>
  <c r="B8" i="10"/>
  <c r="B7" i="10"/>
  <c r="B6" i="10"/>
  <c r="B9" i="10"/>
  <c r="B13" i="10"/>
  <c r="B12" i="10"/>
  <c r="B11" i="10"/>
  <c r="B10" i="10"/>
  <c r="B5" i="10"/>
  <c r="B4" i="10"/>
  <c r="G4" i="9"/>
  <c r="F4" i="9"/>
  <c r="E4" i="9"/>
  <c r="B19" i="9"/>
  <c r="B17" i="9"/>
  <c r="B11" i="9"/>
  <c r="B18" i="9"/>
  <c r="B16" i="9"/>
  <c r="B15" i="9"/>
  <c r="B14" i="9"/>
  <c r="B13" i="9"/>
  <c r="B12" i="9"/>
  <c r="B10" i="9"/>
  <c r="B5" i="9"/>
  <c r="B6" i="9"/>
  <c r="B9" i="9"/>
  <c r="B8" i="9"/>
  <c r="B7" i="9"/>
  <c r="B4" i="9"/>
  <c r="F4" i="8"/>
  <c r="C4" i="8"/>
  <c r="A36" i="5"/>
  <c r="D20" i="8" l="1"/>
  <c r="G54" i="8"/>
  <c r="C21" i="12" s="1"/>
  <c r="E21" i="12" s="1"/>
  <c r="A10" i="6"/>
  <c r="A12" i="6"/>
  <c r="F35" i="8"/>
  <c r="D24" i="8" l="1"/>
  <c r="C5" i="19"/>
  <c r="B17" i="12"/>
  <c r="G41" i="8"/>
  <c r="G20" i="8"/>
  <c r="G56" i="8" l="1"/>
  <c r="D15" i="19" s="1"/>
  <c r="D20" i="19"/>
  <c r="G24" i="8"/>
  <c r="D5" i="19"/>
  <c r="C17" i="12"/>
  <c r="E17" i="12" s="1"/>
  <c r="E23" i="12" s="1"/>
  <c r="F23" i="12" s="1"/>
  <c r="C33" i="11"/>
  <c r="G58" i="8" l="1"/>
  <c r="D10" i="19"/>
  <c r="C35" i="11"/>
  <c r="F11" i="20"/>
  <c r="F12" i="20" s="1"/>
  <c r="C49" i="11" l="1"/>
  <c r="F13" i="12"/>
  <c r="F25" i="12" s="1"/>
  <c r="A25" i="12" s="1"/>
  <c r="F60" i="14" l="1"/>
  <c r="C51" i="11"/>
  <c r="F13" i="20" s="1"/>
  <c r="E60" i="14"/>
  <c r="E64" i="14" s="1"/>
  <c r="G60" i="14" l="1"/>
  <c r="F64" i="14"/>
  <c r="A13" i="20"/>
  <c r="F14" i="20"/>
  <c r="C32" i="8" l="1"/>
  <c r="C35" i="8" s="1"/>
  <c r="D41" i="8" s="1"/>
  <c r="G64" i="14"/>
  <c r="E33" i="11"/>
  <c r="E35" i="11" s="1"/>
  <c r="G33" i="11"/>
  <c r="G35" i="11" s="1"/>
  <c r="G49" i="11" s="1"/>
  <c r="G51" i="11" s="1"/>
  <c r="D56" i="8" l="1"/>
  <c r="C20" i="19"/>
  <c r="D58" i="8" l="1"/>
  <c r="F16" i="20"/>
  <c r="C10" i="19"/>
  <c r="C15" i="19"/>
</calcChain>
</file>

<file path=xl/sharedStrings.xml><?xml version="1.0" encoding="utf-8"?>
<sst xmlns="http://schemas.openxmlformats.org/spreadsheetml/2006/main" count="2308" uniqueCount="728">
  <si>
    <t>Algemene gegevens</t>
  </si>
  <si>
    <t>Omschrijving</t>
  </si>
  <si>
    <t>Waarde</t>
  </si>
  <si>
    <t>Verslagjaar</t>
  </si>
  <si>
    <t>Datum</t>
  </si>
  <si>
    <t>Gegevens m.b.t. de uit te lezen tabel</t>
  </si>
  <si>
    <t>Kolom begroting</t>
  </si>
  <si>
    <t>Kolom realisatie</t>
  </si>
  <si>
    <t>Afschrijving zonnepanelen</t>
  </si>
  <si>
    <t>Debiteuren</t>
  </si>
  <si>
    <t>Vooruitbetaalde bedragen</t>
  </si>
  <si>
    <t>Vraagposten</t>
  </si>
  <si>
    <t>Crediteuren</t>
  </si>
  <si>
    <t>Te betalen eindejaarsuitkering</t>
  </si>
  <si>
    <t>Nog te betalen bedragen</t>
  </si>
  <si>
    <t>Vooruitontvangen VVB</t>
  </si>
  <si>
    <t>Bruto salarissen</t>
  </si>
  <si>
    <t>Suppletie/aanvulling</t>
  </si>
  <si>
    <t>Werkgeversaandeel pensioenpremies</t>
  </si>
  <si>
    <t>Sociale lasten</t>
  </si>
  <si>
    <t>Onbelaste vergoedingen WKR</t>
  </si>
  <si>
    <t>Traktement predikant</t>
  </si>
  <si>
    <t>Overige personeelskosten (vrijgesteld WKR)</t>
  </si>
  <si>
    <t>Overige presoneelskosten (vrije ruimte WKR)</t>
  </si>
  <si>
    <t>Afschrijvingskosten elektrische apparatuur</t>
  </si>
  <si>
    <t>Afschrijvingskosten zonnepanelen</t>
  </si>
  <si>
    <t>Belastingen en heffingen</t>
  </si>
  <si>
    <t>Dotatie onderhoudsvoorziening</t>
  </si>
  <si>
    <t>Representatiekosten</t>
  </si>
  <si>
    <t>Advieskosten</t>
  </si>
  <si>
    <t>Aanschaf/onderhoud kleine inventaris</t>
  </si>
  <si>
    <t>Kosten website</t>
  </si>
  <si>
    <t>Kosten kerst</t>
  </si>
  <si>
    <t>VVB</t>
  </si>
  <si>
    <t>Giften en donaties</t>
  </si>
  <si>
    <t>Resultaat</t>
  </si>
  <si>
    <t>Subverdichtingen</t>
  </si>
  <si>
    <t>Nummer subverdichting</t>
  </si>
  <si>
    <t>Naam subverdichting</t>
  </si>
  <si>
    <t>Nummer hoofdverdichting</t>
  </si>
  <si>
    <t>Gebouwen</t>
  </si>
  <si>
    <t>Inventaris en apparatuur</t>
  </si>
  <si>
    <t>Overige vorderingen</t>
  </si>
  <si>
    <t>Overlopende activa</t>
  </si>
  <si>
    <t>Tegoeden op bankrekeningen</t>
  </si>
  <si>
    <t>Algemene reserve</t>
  </si>
  <si>
    <t>Bestemmingsreserves</t>
  </si>
  <si>
    <t>Onderhoudsvoorziening</t>
  </si>
  <si>
    <t>Overige langlopende schulden</t>
  </si>
  <si>
    <t>Overlopende passiva</t>
  </si>
  <si>
    <t>Belastingen en premies soc ver</t>
  </si>
  <si>
    <t>Schulden terzake pensioenen</t>
  </si>
  <si>
    <t>Verhuur</t>
  </si>
  <si>
    <t>Overige baten</t>
  </si>
  <si>
    <t>Lonen en salarissen</t>
  </si>
  <si>
    <t>Overige personele lasten</t>
  </si>
  <si>
    <t>Afschrijvingskosten</t>
  </si>
  <si>
    <t>Huurlasten</t>
  </si>
  <si>
    <t>Onderhoudslasten</t>
  </si>
  <si>
    <t>Energie en water</t>
  </si>
  <si>
    <t>Schoonmaakkosten</t>
  </si>
  <si>
    <t>Overige huisvestingslaten</t>
  </si>
  <si>
    <t>Administratie en beheerslasten</t>
  </si>
  <si>
    <t>Overige lasten</t>
  </si>
  <si>
    <t>Kosten activiteiten</t>
  </si>
  <si>
    <t>Rentebaten</t>
  </si>
  <si>
    <t>Rentelasten</t>
  </si>
  <si>
    <t>Naam hoofdverdichting</t>
  </si>
  <si>
    <t>MATERIËLE VASTE ACTIVA</t>
  </si>
  <si>
    <t>EIGEN VERMOGEN</t>
  </si>
  <si>
    <t>VOORZIENINGEN</t>
  </si>
  <si>
    <t>LANGLOPENDE SCHULDEN</t>
  </si>
  <si>
    <t>LIQUIDE MIDDELEN</t>
  </si>
  <si>
    <t>VORDERINGEN</t>
  </si>
  <si>
    <t>KORTLOPENDE SCHULDEN</t>
  </si>
  <si>
    <t>PERSONEELSLASTEN</t>
  </si>
  <si>
    <t>AFSCHRIJVINGEN</t>
  </si>
  <si>
    <t>HUISVESTINGSLASTEN</t>
  </si>
  <si>
    <t>OVERIGE LASTEN</t>
  </si>
  <si>
    <t>RENTELASTEN</t>
  </si>
  <si>
    <t>BATEN</t>
  </si>
  <si>
    <t>RENTEBATEN</t>
  </si>
  <si>
    <t>RESULTAAT</t>
  </si>
  <si>
    <t>Hoofdverdichtingen</t>
  </si>
  <si>
    <t>Materiële vaste activa</t>
  </si>
  <si>
    <t>Liquide middelen</t>
  </si>
  <si>
    <t>Gegevens voor jaarrekening op grootboekniveau</t>
  </si>
  <si>
    <t>hoofdverdichting code</t>
  </si>
  <si>
    <t>omschrijving hoofdverdichting</t>
  </si>
  <si>
    <t>leeg1</t>
  </si>
  <si>
    <t>leeg2</t>
  </si>
  <si>
    <t>subverdichting code</t>
  </si>
  <si>
    <t>omschrijving subverdichting</t>
  </si>
  <si>
    <t>Verdichtingscode</t>
  </si>
  <si>
    <t>Eigen vermogen</t>
  </si>
  <si>
    <t>Voorzieningen</t>
  </si>
  <si>
    <t>Kortlopende schulden</t>
  </si>
  <si>
    <t>Begroting</t>
  </si>
  <si>
    <t>Realisatie</t>
  </si>
  <si>
    <t>Baten</t>
  </si>
  <si>
    <t>Lasten</t>
  </si>
  <si>
    <t>Totaal baten</t>
  </si>
  <si>
    <t>Totaal lasten</t>
  </si>
  <si>
    <t>Exploitatieresultaat</t>
  </si>
  <si>
    <t>Gegevens voor jaarrekening op subverdichtingniveau</t>
  </si>
  <si>
    <t>Gegevens voor jaarrekening op hoofd verdichting niveau</t>
  </si>
  <si>
    <t>Afschrijvingen</t>
  </si>
  <si>
    <t>Rente leningen gemeenteleden</t>
  </si>
  <si>
    <t>Bankkosten</t>
  </si>
  <si>
    <t>Vorderingen en overlopende activa</t>
  </si>
  <si>
    <t>Inhoudsopgave</t>
  </si>
  <si>
    <t>Grondslagen bij de jaarrekening</t>
  </si>
  <si>
    <t>Kengetallen bij de jaarrekening</t>
  </si>
  <si>
    <t>Liquiditeit (current ratio):</t>
  </si>
  <si>
    <t>vlottende activa gedeeld door kortlopende schulden</t>
  </si>
  <si>
    <t>Geeft aan in hoeverre de organisatie in staat is om met de ter beschikking staande vlottende middelen aan de verplichtingen te voldoen. Een gezonde waarde voor dit kengetal ligt boven de 1.</t>
  </si>
  <si>
    <t>eigen vermogen gedeeld door totale passiva</t>
  </si>
  <si>
    <t>Geeft aan in hoeverre de organisatie op de lange termijn in staat is om aan de verplichtingen (inclusief de voorzieningen) te voldoen. Hoe hoger de ratio, hoe beter de organisatie op lange termijn aan de verplichtingen kan voldoen.</t>
  </si>
  <si>
    <t>Solvabiliteitsratio:</t>
  </si>
  <si>
    <t>eigen vermogen plus voorzieningen gedeeld door totale passiva</t>
  </si>
  <si>
    <t>Geeft aan in hoeverre de organisatie op de lange termijn in staat is om aan de verplichtingen (exclusief de voorzieningen) te voldoen. Hoe hoger de ratio, hoe beter de organisatie op lange termijn aan de verplichtingen kan voldoen.</t>
  </si>
  <si>
    <t>Weerstandsvermogen:</t>
  </si>
  <si>
    <t>eigen vermogen gedeeld door totale baten inclusief rente</t>
  </si>
  <si>
    <t>Geeft aan in hoeverre de organisatie op de lange termijn aan de verplichtingen kan voldoen.</t>
  </si>
  <si>
    <t>Nederlands Gereformeerde Kerk te Houten,</t>
  </si>
  <si>
    <t xml:space="preserve">"De Lichtboog" exclusief Utrecht Initiatief, diaconie, </t>
  </si>
  <si>
    <t>Roemenië commissie, conferenties en zendingswerkers</t>
  </si>
  <si>
    <t>Nog te ontvangen bedragen</t>
  </si>
  <si>
    <t>Gerichte vrijstelling i.h.k.v. WKR</t>
  </si>
  <si>
    <t>Reservering vakantiegeld predikant</t>
  </si>
  <si>
    <t>Tussenrekening transitorische posten</t>
  </si>
  <si>
    <t>Datum vaststellen door oudstenraad</t>
  </si>
  <si>
    <t>Investeringen in gebouw en terrein</t>
  </si>
  <si>
    <t>Afschrijving investeringen in gebouw en terrein</t>
  </si>
  <si>
    <t>Scholingskosten personeel (incl. onbetaalde staf)</t>
  </si>
  <si>
    <t>Terrein</t>
  </si>
  <si>
    <t>Onderhoudsinvesteringen</t>
  </si>
  <si>
    <t>Afschrijving onderhoudsinvesteringen</t>
  </si>
  <si>
    <t>Investeringen zonnepanelen</t>
  </si>
  <si>
    <t>Afschrijvingskosten onderhoudsinvesteringen</t>
  </si>
  <si>
    <t>Afschrijvingskosten inventaris</t>
  </si>
  <si>
    <t>Inventaris</t>
  </si>
  <si>
    <t>Saldi 2020</t>
  </si>
  <si>
    <t>Versie</t>
  </si>
  <si>
    <t>volledig</t>
  </si>
  <si>
    <t>Saldi 20202</t>
  </si>
  <si>
    <t>Saldi 2021</t>
  </si>
  <si>
    <t>Begroting 2021</t>
  </si>
  <si>
    <t>Overige personeelskst (gerichte vrijstelling WKR)</t>
  </si>
  <si>
    <t>BB 2020</t>
  </si>
  <si>
    <t>Concept jaarverslag en jaarrekening</t>
  </si>
  <si>
    <t>xx-xx-2023</t>
  </si>
  <si>
    <t>Jaarverslag</t>
  </si>
  <si>
    <t>Jaarverslag ('bestuursverslag')</t>
  </si>
  <si>
    <t xml:space="preserve">Het opstellen van een jaarverslag (of 'bestuursverslag') door een kerk is, op basis van landelijke </t>
  </si>
  <si>
    <t>kerkelijke afspraken, niet noodzakelijk.</t>
  </si>
  <si>
    <t>Volgens de ANBI-wetgeving moet een kerk een 'actueel verslag  van de uitgeoefende activiteiten'</t>
  </si>
  <si>
    <t xml:space="preserve">publiceren. In overleg met de belastingdienst is hiervoor een bepaalde tekst in het ANBI-format </t>
  </si>
  <si>
    <t>beschikbaar welke voor alle plaatselijke kerken wordt gebruikt.</t>
  </si>
  <si>
    <t>Als een plaatselijke kerk een jaarverslag opstelt dan is het wenselijk dat op onderstaande punten,</t>
  </si>
  <si>
    <t xml:space="preserve">betreffende de gang van zaken bij de plaatselijke kerk, wordt ingegaan. </t>
  </si>
  <si>
    <t>1. Een omschrijving van de doelstelling van de plaatselijke kerk en een aanduiding van de wijze</t>
  </si>
  <si>
    <t>waarop de verschillende (kern-)activiteiten daaraan bijdragen.</t>
  </si>
  <si>
    <t>Wat is het doel van de verschillende activiteiten en welke effecten zijn bereikt?</t>
  </si>
  <si>
    <t>Hierbij kan een verband worden gelegd met de verschillende kostenposten van de staat van</t>
  </si>
  <si>
    <t>baten en lasten.</t>
  </si>
  <si>
    <t xml:space="preserve">2. Een korte beschrijving van de interne organisatiestructuur en eventueel de personele </t>
  </si>
  <si>
    <t>bezetting ervan.</t>
  </si>
  <si>
    <t>3. Een analyse van de verschillen tussen de begroting en de werkelijke cijfers van het betreffende</t>
  </si>
  <si>
    <t xml:space="preserve">jaar. Tevens aandacht voor de toestand op de balansdatum, o.a.: kan aan de financiële </t>
  </si>
  <si>
    <t>verplichtingen worden voldaan, zijn de kasstromen voldoende en wat zijn de voornaamste risico's.</t>
  </si>
  <si>
    <t>4. Aandacht voor de voornaamste risico's en onzekerheden. Hierbij kan o.a. gedacht worden over</t>
  </si>
  <si>
    <t xml:space="preserve">de ontwikkeling van het ledenbestand. </t>
  </si>
  <si>
    <t>Eventueel ook een beschrijving van de impact van mogelijke risico's en onzekerheden en welke</t>
  </si>
  <si>
    <t>acties dan worden overwogen en ondernomen.</t>
  </si>
  <si>
    <t>Als in eerdere jaarverslagen bepaalde verwachtingen werden uitgesproken, dan ingaan op de</t>
  </si>
  <si>
    <t>daadwerkelijke ontwikkelingen op deze punten in het betreffende jaar.</t>
  </si>
  <si>
    <t>5. Het beleid van de kerkenraad over het beschikbare vermogen (en eventueel beleggingen).</t>
  </si>
  <si>
    <t>6. Een beschrijving van belangrijke stellige plannen en voornemens voor het komende jaar,</t>
  </si>
  <si>
    <t>inclusief een financiële vertaling hiervan, bijvoorbeeld in een begroting.</t>
  </si>
  <si>
    <t xml:space="preserve">7. Eventueel gebruik van gedragscodes en een beschrijving van de sociale aspecten van het </t>
  </si>
  <si>
    <t xml:space="preserve">kerk-zijn (bijv. intern over arbeidsomstandigheden, veiligheid, opleidingen en extern over </t>
  </si>
  <si>
    <t>betrokkenheid bij de omgeving).</t>
  </si>
  <si>
    <t>Basis tekst jaarverslag maken</t>
  </si>
  <si>
    <t>(na verwerking saldo van baten en lasten)</t>
  </si>
  <si>
    <t>Gebouwen en terreinen</t>
  </si>
  <si>
    <t>Financiële vaste acviva (o.a. beleggingen)</t>
  </si>
  <si>
    <t>Collectegelden</t>
  </si>
  <si>
    <t>Totaal activa</t>
  </si>
  <si>
    <t>ACTIVA</t>
  </si>
  <si>
    <t>PASSIVA</t>
  </si>
  <si>
    <t>Vrij beteedbaar vermogen</t>
  </si>
  <si>
    <t>Bestemmingsreserve A</t>
  </si>
  <si>
    <t>Bestemmingsreserve B</t>
  </si>
  <si>
    <t>Vastgelegd vermogen</t>
  </si>
  <si>
    <t>Herwaarderingsfonds vaste activa</t>
  </si>
  <si>
    <t>Bestemmingsfonds A</t>
  </si>
  <si>
    <t>Langlopende schulden / hypotheken</t>
  </si>
  <si>
    <t>Aflossingsverplichting komend jaar</t>
  </si>
  <si>
    <t>Belastingen en sociale verzekeringen</t>
  </si>
  <si>
    <t>Qutumverplichtingen</t>
  </si>
  <si>
    <t>Collectebonnen -munten</t>
  </si>
  <si>
    <t>Geldmiddelen commissies/verenigingen</t>
  </si>
  <si>
    <t>Overige</t>
  </si>
  <si>
    <t>Totaal passiva</t>
  </si>
  <si>
    <t>Nr.</t>
  </si>
  <si>
    <t>Grootboekrekening</t>
  </si>
  <si>
    <t>Beginbalans</t>
  </si>
  <si>
    <t>Balans saldo</t>
  </si>
  <si>
    <t>Balans vorig jaar</t>
  </si>
  <si>
    <t>Saldo W&amp;V</t>
  </si>
  <si>
    <t>W&amp;V vorig jr.</t>
  </si>
  <si>
    <t>Budget</t>
  </si>
  <si>
    <t>Naam verdichting</t>
  </si>
  <si>
    <t>Subverdichtingscode</t>
  </si>
  <si>
    <t>NGK ANBI code</t>
  </si>
  <si>
    <t>0001</t>
  </si>
  <si>
    <t>1</t>
  </si>
  <si>
    <t>1.1</t>
  </si>
  <si>
    <t>0010</t>
  </si>
  <si>
    <t>Kerkgebouw(en) aanschafwaarde</t>
  </si>
  <si>
    <t>0011</t>
  </si>
  <si>
    <t>Afschrijving kerkgebouw(en) aanschafwaarde</t>
  </si>
  <si>
    <t>0012</t>
  </si>
  <si>
    <t>0013</t>
  </si>
  <si>
    <t>0014</t>
  </si>
  <si>
    <t>0015</t>
  </si>
  <si>
    <t>0016</t>
  </si>
  <si>
    <t>0017</t>
  </si>
  <si>
    <t>0110</t>
  </si>
  <si>
    <t>Inventaris(sen) kerk(en)</t>
  </si>
  <si>
    <t>1.2</t>
  </si>
  <si>
    <t>Installaties en inventarissen</t>
  </si>
  <si>
    <t>0111</t>
  </si>
  <si>
    <t>Afschrijving inventaris(sen) kerk(en)</t>
  </si>
  <si>
    <t>0112</t>
  </si>
  <si>
    <t>Investeringen elektrische apparatuur</t>
  </si>
  <si>
    <t>0113</t>
  </si>
  <si>
    <t>Afschrijving elektrische apparatuur</t>
  </si>
  <si>
    <t>1000</t>
  </si>
  <si>
    <t>11</t>
  </si>
  <si>
    <t>11.1</t>
  </si>
  <si>
    <t>1010</t>
  </si>
  <si>
    <t>Nog te ontvangen VVB</t>
  </si>
  <si>
    <t>1021</t>
  </si>
  <si>
    <t>1022</t>
  </si>
  <si>
    <t>1029</t>
  </si>
  <si>
    <t>1040</t>
  </si>
  <si>
    <t>1049</t>
  </si>
  <si>
    <t>1320</t>
  </si>
  <si>
    <t>16</t>
  </si>
  <si>
    <t>16.1</t>
  </si>
  <si>
    <t>1321</t>
  </si>
  <si>
    <t>1340</t>
  </si>
  <si>
    <t>2000</t>
  </si>
  <si>
    <t>Vermogen begin boekjaar</t>
  </si>
  <si>
    <t>21</t>
  </si>
  <si>
    <t>21.1</t>
  </si>
  <si>
    <t>2200</t>
  </si>
  <si>
    <t>Hypotheek kerk</t>
  </si>
  <si>
    <t>31</t>
  </si>
  <si>
    <t>Langlopende schulden</t>
  </si>
  <si>
    <t>31.1</t>
  </si>
  <si>
    <t>2230</t>
  </si>
  <si>
    <t>Leningen gemeenteleden</t>
  </si>
  <si>
    <t>2300</t>
  </si>
  <si>
    <t>Nog te betalen belastingen / sociale verzekeringen</t>
  </si>
  <si>
    <t>36</t>
  </si>
  <si>
    <t>Kortlopende schulden en overlopende passiva</t>
  </si>
  <si>
    <t>36.1</t>
  </si>
  <si>
    <t>2310</t>
  </si>
  <si>
    <t>Nog te betalen pensioenpremies</t>
  </si>
  <si>
    <t>2320</t>
  </si>
  <si>
    <t>Te betalen vakantiegeld en vakantiedagen</t>
  </si>
  <si>
    <t>2321</t>
  </si>
  <si>
    <t>2330</t>
  </si>
  <si>
    <t>Nog te betalen traktement/netto salarissen</t>
  </si>
  <si>
    <t>2370</t>
  </si>
  <si>
    <t>2400</t>
  </si>
  <si>
    <t>2401</t>
  </si>
  <si>
    <t>Tussenrekening verzamelbetalingen crediteuren</t>
  </si>
  <si>
    <t>2421</t>
  </si>
  <si>
    <t>2422</t>
  </si>
  <si>
    <t>2431</t>
  </si>
  <si>
    <t>4000</t>
  </si>
  <si>
    <t>66</t>
  </si>
  <si>
    <t>Verkondiging, pastoraat/catechese (trakt./salaris/vergoed.)</t>
  </si>
  <si>
    <t>66.1</t>
  </si>
  <si>
    <t>Prediking en kerkdiensten</t>
  </si>
  <si>
    <t>4001</t>
  </si>
  <si>
    <t>4005</t>
  </si>
  <si>
    <t>4010</t>
  </si>
  <si>
    <t>Onkostenvergoedingen predikant</t>
  </si>
  <si>
    <t>4030</t>
  </si>
  <si>
    <t>4031</t>
  </si>
  <si>
    <t>Sprekers op factuurbasis met KvK en BTW nr.</t>
  </si>
  <si>
    <t>4050</t>
  </si>
  <si>
    <t>Quotum emeritering/pensioenlasten</t>
  </si>
  <si>
    <t>66.2</t>
  </si>
  <si>
    <t>Emeritering predikanten</t>
  </si>
  <si>
    <t>4101</t>
  </si>
  <si>
    <t>66.3</t>
  </si>
  <si>
    <t>Pastorale werkers/catecheten</t>
  </si>
  <si>
    <t>4102</t>
  </si>
  <si>
    <t>4103</t>
  </si>
  <si>
    <t>4104</t>
  </si>
  <si>
    <t>4105</t>
  </si>
  <si>
    <t>4106</t>
  </si>
  <si>
    <t>4113</t>
  </si>
  <si>
    <t>4114</t>
  </si>
  <si>
    <t>4141</t>
  </si>
  <si>
    <t>4142</t>
  </si>
  <si>
    <t>4151</t>
  </si>
  <si>
    <t>4191</t>
  </si>
  <si>
    <t>4192</t>
  </si>
  <si>
    <t>4193</t>
  </si>
  <si>
    <t>4200</t>
  </si>
  <si>
    <t>Kosten kerkdiensten (bijv. avondmaal)</t>
  </si>
  <si>
    <t>71</t>
  </si>
  <si>
    <t>Verkondiging, pastoraat/catechese (overige kosten)</t>
  </si>
  <si>
    <t>71.1</t>
  </si>
  <si>
    <t>Directe kosten kerkdiensten, pastoraat, catechese</t>
  </si>
  <si>
    <t>2</t>
  </si>
  <si>
    <t>4250</t>
  </si>
  <si>
    <t>Kosten kerkdienstuitzendingen</t>
  </si>
  <si>
    <t>4274</t>
  </si>
  <si>
    <t>4277</t>
  </si>
  <si>
    <t>4278</t>
  </si>
  <si>
    <t>4279</t>
  </si>
  <si>
    <t>4281</t>
  </si>
  <si>
    <t>4282</t>
  </si>
  <si>
    <t>4283</t>
  </si>
  <si>
    <t>4290</t>
  </si>
  <si>
    <t>4400</t>
  </si>
  <si>
    <t>Quota (landelijk kerkverband)</t>
  </si>
  <si>
    <t>76</t>
  </si>
  <si>
    <t>Quota kerkverband/projecten</t>
  </si>
  <si>
    <t>76.1</t>
  </si>
  <si>
    <t>Verplichtingen kerkverband</t>
  </si>
  <si>
    <t>3</t>
  </si>
  <si>
    <t>4601</t>
  </si>
  <si>
    <t>76.3</t>
  </si>
  <si>
    <t>Plaatselijke evangelisatie</t>
  </si>
  <si>
    <t>4610</t>
  </si>
  <si>
    <t>Kosten Alphacursus</t>
  </si>
  <si>
    <t>4611</t>
  </si>
  <si>
    <t>4700</t>
  </si>
  <si>
    <t>Salaris/vergoeding koster</t>
  </si>
  <si>
    <t>81</t>
  </si>
  <si>
    <t>Salaris/vergoeding koster/organist/vrijwilligers</t>
  </si>
  <si>
    <t>81.1</t>
  </si>
  <si>
    <t>Salarissen koster(s) en organist</t>
  </si>
  <si>
    <t>4</t>
  </si>
  <si>
    <t>4701</t>
  </si>
  <si>
    <t>Salaris/verg overige ond. functies</t>
  </si>
  <si>
    <t>4710</t>
  </si>
  <si>
    <t>Pensioenvoorziening koster</t>
  </si>
  <si>
    <t>4730</t>
  </si>
  <si>
    <t>Vergoeding vrijwilligers</t>
  </si>
  <si>
    <t>4781</t>
  </si>
  <si>
    <t>5000</t>
  </si>
  <si>
    <t>Onderhoud kerkgebouw(en)</t>
  </si>
  <si>
    <t>86</t>
  </si>
  <si>
    <t>Lasten kerkelijke gebouwen</t>
  </si>
  <si>
    <t>86.1</t>
  </si>
  <si>
    <t>Lasten onroerende zaken</t>
  </si>
  <si>
    <t>5</t>
  </si>
  <si>
    <t>5001</t>
  </si>
  <si>
    <t>Service contracten kerkgebouw(en)</t>
  </si>
  <si>
    <t>5006</t>
  </si>
  <si>
    <t>Tuin onderhoud kerkgebouw(en)</t>
  </si>
  <si>
    <t>5031</t>
  </si>
  <si>
    <t>Elektra kerkgebouw(en)</t>
  </si>
  <si>
    <t>5032</t>
  </si>
  <si>
    <t>Gas kerkgebouw(en)</t>
  </si>
  <si>
    <t>5039</t>
  </si>
  <si>
    <t>5040</t>
  </si>
  <si>
    <t>Water kerkgebouw(en)</t>
  </si>
  <si>
    <t>5050</t>
  </si>
  <si>
    <t>Belastingen/verzekeringen kerkgebouw(en)</t>
  </si>
  <si>
    <t>5060</t>
  </si>
  <si>
    <t>Huurlasten kerkgebouw(en)</t>
  </si>
  <si>
    <t>5070</t>
  </si>
  <si>
    <t>Schoonmaak kerkgebouw(en)</t>
  </si>
  <si>
    <t>5071</t>
  </si>
  <si>
    <t>Afvalverwerking</t>
  </si>
  <si>
    <t>5080</t>
  </si>
  <si>
    <t>Overige kosten kerkgebouw(en)</t>
  </si>
  <si>
    <t>5320</t>
  </si>
  <si>
    <t>Rentelast kerk (hypotheek)</t>
  </si>
  <si>
    <t>86.2</t>
  </si>
  <si>
    <t>5321</t>
  </si>
  <si>
    <t>5500</t>
  </si>
  <si>
    <t>Beheerkosten</t>
  </si>
  <si>
    <t>91</t>
  </si>
  <si>
    <t>Overige lasten kerkelijke organisatie</t>
  </si>
  <si>
    <t>91.1</t>
  </si>
  <si>
    <t>Kosten beheer en administratie</t>
  </si>
  <si>
    <t>6</t>
  </si>
  <si>
    <t>5501</t>
  </si>
  <si>
    <t>5509</t>
  </si>
  <si>
    <t>5510</t>
  </si>
  <si>
    <t>Kosten administratie</t>
  </si>
  <si>
    <t>5531</t>
  </si>
  <si>
    <t>Drukkosten</t>
  </si>
  <si>
    <t>5532</t>
  </si>
  <si>
    <t>5533</t>
  </si>
  <si>
    <t>5550</t>
  </si>
  <si>
    <t>Kosten keuken/buffet</t>
  </si>
  <si>
    <t>5560</t>
  </si>
  <si>
    <t>Telefoon- en internetkosten</t>
  </si>
  <si>
    <t>5570</t>
  </si>
  <si>
    <t>5580</t>
  </si>
  <si>
    <t>Overige kosten beheer en administratie</t>
  </si>
  <si>
    <t>5581</t>
  </si>
  <si>
    <t>Verzekeringen (niet gebouw)</t>
  </si>
  <si>
    <t>5590</t>
  </si>
  <si>
    <t>Kosten software en licenties</t>
  </si>
  <si>
    <t>5591</t>
  </si>
  <si>
    <t>5592</t>
  </si>
  <si>
    <t>5593</t>
  </si>
  <si>
    <t>5594</t>
  </si>
  <si>
    <t>5595</t>
  </si>
  <si>
    <t>5600</t>
  </si>
  <si>
    <t>91.2</t>
  </si>
  <si>
    <t>5610</t>
  </si>
  <si>
    <t>5650</t>
  </si>
  <si>
    <t>5652</t>
  </si>
  <si>
    <t>5711</t>
  </si>
  <si>
    <t>96</t>
  </si>
  <si>
    <t>96.1</t>
  </si>
  <si>
    <t>7</t>
  </si>
  <si>
    <t>5713</t>
  </si>
  <si>
    <t>Afschrijvingskosten inv in gebouw en terrein</t>
  </si>
  <si>
    <t>5715</t>
  </si>
  <si>
    <t>5717</t>
  </si>
  <si>
    <t>5731</t>
  </si>
  <si>
    <t>5733</t>
  </si>
  <si>
    <t>8000</t>
  </si>
  <si>
    <t>Vaste Vrijwillige Bijdragen (VVB)</t>
  </si>
  <si>
    <t>51</t>
  </si>
  <si>
    <t>VVB / rondgangen</t>
  </si>
  <si>
    <t>51.1</t>
  </si>
  <si>
    <t>Vaste Vrijwillige Bijdragen (en rondgangen)</t>
  </si>
  <si>
    <t>A</t>
  </si>
  <si>
    <t>8002</t>
  </si>
  <si>
    <t>8100</t>
  </si>
  <si>
    <t>Collecten</t>
  </si>
  <si>
    <t>56</t>
  </si>
  <si>
    <t>Collecten / giften</t>
  </si>
  <si>
    <t>56.1</t>
  </si>
  <si>
    <t>Opbrengst collecten</t>
  </si>
  <si>
    <t>B</t>
  </si>
  <si>
    <t>8300</t>
  </si>
  <si>
    <t>Verhuur kerkgebouw</t>
  </si>
  <si>
    <t>61</t>
  </si>
  <si>
    <t>61.1</t>
  </si>
  <si>
    <t>Huuropbrengsten</t>
  </si>
  <si>
    <t>C</t>
  </si>
  <si>
    <t>9000</t>
  </si>
  <si>
    <t>9999</t>
  </si>
  <si>
    <t>Resultaat dit boekjaar</t>
  </si>
  <si>
    <t>Vaste vrijwillige bijdragen</t>
  </si>
  <si>
    <t>2060</t>
  </si>
  <si>
    <t>2020</t>
  </si>
  <si>
    <t>2040</t>
  </si>
  <si>
    <t>26.1</t>
  </si>
  <si>
    <t>Balans 31-12</t>
  </si>
  <si>
    <t>(niet via baten-lasten)</t>
  </si>
  <si>
    <t>(via baten-lasten)</t>
  </si>
  <si>
    <t>€</t>
  </si>
  <si>
    <t>Kerkgebouw en vergaderzalen</t>
  </si>
  <si>
    <t>Pastorie(-en)</t>
  </si>
  <si>
    <t xml:space="preserve">Toelichting </t>
  </si>
  <si>
    <t>Installaties</t>
  </si>
  <si>
    <t>Orgel</t>
  </si>
  <si>
    <t>(Des-)
Invest.</t>
  </si>
  <si>
    <t>Herwaarde-ring</t>
  </si>
  <si>
    <t>Afschrij-vingen</t>
  </si>
  <si>
    <t>Balans
1-1</t>
  </si>
  <si>
    <t>Balans
31-12</t>
  </si>
  <si>
    <t>Financiële vaste activa</t>
  </si>
  <si>
    <t>Aan-/verkopen</t>
  </si>
  <si>
    <t>Koers-resultaat</t>
  </si>
  <si>
    <t>Aandelen</t>
  </si>
  <si>
    <t>Obligaties/vastrentend</t>
  </si>
  <si>
    <t>VVB (jan.,bestemm.vorig jaar)</t>
  </si>
  <si>
    <t>Rente</t>
  </si>
  <si>
    <t>Overig</t>
  </si>
  <si>
    <t>Betaalrekeningen</t>
  </si>
  <si>
    <t>Spaarrekeningen</t>
  </si>
  <si>
    <t>Alle hierboven vermelde liquide middelen zijn per direct vrij opneembaar.</t>
  </si>
  <si>
    <t>Vrij besteedbaar vermogen</t>
  </si>
  <si>
    <t>Balans 1-1</t>
  </si>
  <si>
    <t>Bij: dotatie via</t>
  </si>
  <si>
    <t>Af: onttrekk.via</t>
  </si>
  <si>
    <t>bestemm. result.</t>
  </si>
  <si>
    <t>Totaal</t>
  </si>
  <si>
    <t>Mutatie</t>
  </si>
  <si>
    <t>rechtstreeks</t>
  </si>
  <si>
    <t>Fonds herwaard. vaste activa</t>
  </si>
  <si>
    <t>Toelichting op reserves en fondsen</t>
  </si>
  <si>
    <t>Fonds herwaardering vaste activa</t>
  </si>
  <si>
    <t xml:space="preserve">Het fonds materiële vaste activa geeft de omvang van het deel van het eigen vermogen weer dat </t>
  </si>
  <si>
    <t xml:space="preserve">is vastgelegd in materiële vaste activa. De hoogte van het saldo wordt bepaald door het verschil te </t>
  </si>
  <si>
    <t>nemen tussen de boekwaarde van de materiële vaste activa en de langlopende schulden.</t>
  </si>
  <si>
    <t>In de boekwaarde is zo nodig rekening gehouden met de WOZ-waarde van de vaste activa.</t>
  </si>
  <si>
    <t>Stand per 1 januari</t>
  </si>
  <si>
    <t>Bij: dotatie</t>
  </si>
  <si>
    <t>Af: onttrekking</t>
  </si>
  <si>
    <t>..</t>
  </si>
  <si>
    <t>Stand per 31 december</t>
  </si>
  <si>
    <t>Bij: opgenomen lening</t>
  </si>
  <si>
    <t>Af: aflossing</t>
  </si>
  <si>
    <t>Af: kortlopende aflossingsverplichting</t>
  </si>
  <si>
    <t>61.4</t>
  </si>
  <si>
    <t>8600</t>
  </si>
  <si>
    <t>61.2</t>
  </si>
  <si>
    <t>8400</t>
  </si>
  <si>
    <t>8101</t>
  </si>
  <si>
    <t>8051</t>
  </si>
  <si>
    <t>Nagekomen VVB vorig jaar</t>
  </si>
  <si>
    <t>8001</t>
  </si>
  <si>
    <t>4782</t>
  </si>
  <si>
    <t>4401</t>
  </si>
  <si>
    <t>4280</t>
  </si>
  <si>
    <t>4276</t>
  </si>
  <si>
    <t>4272</t>
  </si>
  <si>
    <t>Kruisposten</t>
  </si>
  <si>
    <t>1390</t>
  </si>
  <si>
    <t>Belastingen en soc.verzek.</t>
  </si>
  <si>
    <t>Pensioenen</t>
  </si>
  <si>
    <t>Vakantiedagen/-geld</t>
  </si>
  <si>
    <t>Quotumverplichtingen</t>
  </si>
  <si>
    <t>Nog af te dragen collecten</t>
  </si>
  <si>
    <t>Collectemunten in omloop</t>
  </si>
  <si>
    <t>Geldmiddelen commissies</t>
  </si>
  <si>
    <t>Vooruitbetalingen</t>
  </si>
  <si>
    <t>Overige schulden</t>
  </si>
  <si>
    <t>Saldo per 31 december</t>
  </si>
  <si>
    <t>Afloss.verplichting hypotheek en leningen (&lt; 1 jr.)</t>
  </si>
  <si>
    <t>Niet in de balans opgenomen verplichtingen</t>
  </si>
  <si>
    <t>Vaste vrijwillige bijdragen (VVB en rondgangen)</t>
  </si>
  <si>
    <t>Verkondiging, pastoraat (trakt./vergoed.)</t>
  </si>
  <si>
    <t>Salarissen koster/organist/vrijwilliger</t>
  </si>
  <si>
    <t xml:space="preserve">Afschrijvingen </t>
  </si>
  <si>
    <t>Saldo van baten en lsten</t>
  </si>
  <si>
    <t>Mutaties bestemmingsreserves/-fondsen</t>
  </si>
  <si>
    <t>Toevoegingen aan bestemmingsreserves</t>
  </si>
  <si>
    <t>Onttrekkingen aan bestemmingsreserves</t>
  </si>
  <si>
    <t>Bestemming van saldo van baten en lasten</t>
  </si>
  <si>
    <t>Bestemmingsreserve C</t>
  </si>
  <si>
    <t>VVB en rondgangen</t>
  </si>
  <si>
    <t xml:space="preserve">VVB  </t>
  </si>
  <si>
    <t>Rondgang zending / TU</t>
  </si>
  <si>
    <t>Collecten/giften</t>
  </si>
  <si>
    <t>Collecten voor kerk</t>
  </si>
  <si>
    <t>Collecten voor bestemmingen</t>
  </si>
  <si>
    <t>Giften/acties</t>
  </si>
  <si>
    <t>Legaten/nalatenschappen</t>
  </si>
  <si>
    <t>Verhuur gebouwen/zaalhuur</t>
  </si>
  <si>
    <t>Winst consumpties</t>
  </si>
  <si>
    <t>Classis-/regiosteun/subsidies</t>
  </si>
  <si>
    <t>Verkondiging/pastoraat (trakt./vergoed)</t>
  </si>
  <si>
    <t>Traktementen</t>
  </si>
  <si>
    <t>Onkostenvergoedingen</t>
  </si>
  <si>
    <t>Emeriteringskosten/pensioenpremie</t>
  </si>
  <si>
    <t>Predikanten van elders</t>
  </si>
  <si>
    <t>Salarissen kerkelijk werker/catecheten</t>
  </si>
  <si>
    <t>Salarissen kerkelijke medewerkers</t>
  </si>
  <si>
    <t>Vergoedingen catecheten</t>
  </si>
  <si>
    <t>Toelichting:</t>
  </si>
  <si>
    <t>Verkondiging/pastoraat (overige kosten)</t>
  </si>
  <si>
    <t>Kosten kerkdiensten/liturgieën</t>
  </si>
  <si>
    <t>Catechesatiemateriaal</t>
  </si>
  <si>
    <t>Overige kosten</t>
  </si>
  <si>
    <t>De overige kosten betreffen de kosten van de activiteiten.</t>
  </si>
  <si>
    <t>Landelijk quota</t>
  </si>
  <si>
    <t>Overige landelijke instellingen</t>
  </si>
  <si>
    <t>Classiskosten/hulpbehoevende kerken</t>
  </si>
  <si>
    <t>Doorbetaalde collecten bestemmingen</t>
  </si>
  <si>
    <t>Zending/missionaire projecten</t>
  </si>
  <si>
    <t>Quotum zending</t>
  </si>
  <si>
    <t>Quotum/bijdrage missionaire projecten</t>
  </si>
  <si>
    <t>Vergoeding koster/organist/vrijwilliger</t>
  </si>
  <si>
    <t>Koster</t>
  </si>
  <si>
    <t>Organisten</t>
  </si>
  <si>
    <t>Vrijwilligers</t>
  </si>
  <si>
    <t>Onderhoud kerkelijke gebouwen</t>
  </si>
  <si>
    <t>Exploitatie kerkgebouw</t>
  </si>
  <si>
    <t>Verzekeringen</t>
  </si>
  <si>
    <t>Hypotheekrente</t>
  </si>
  <si>
    <t>Dotatie onderhoudvoorzieningen</t>
  </si>
  <si>
    <t>Kopieerkosten/-apparaat</t>
  </si>
  <si>
    <t>Kerkblad en jaarboekje</t>
  </si>
  <si>
    <t>inbegrepen.</t>
  </si>
  <si>
    <t>A. Berekening toe-/afname liquide middelen</t>
  </si>
  <si>
    <t>Balansposten</t>
  </si>
  <si>
    <t>liq. Mid.</t>
  </si>
  <si>
    <t>Saldo liquide middelen</t>
  </si>
  <si>
    <t>B. Specificatie van toe-/afname balansposten</t>
  </si>
  <si>
    <t>Resultaat volgens staat van baten en lasten</t>
  </si>
  <si>
    <t>(verwerkt in Eigen Vermogen en bestemmingsreserves)</t>
  </si>
  <si>
    <t>Mutaties overige balansposten, gevolgen op liquide middelen</t>
  </si>
  <si>
    <t>* vaste activa</t>
  </si>
  <si>
    <t>* vorderingen</t>
  </si>
  <si>
    <t>* voorzieningen</t>
  </si>
  <si>
    <t>* schulden op lange termijn / hypotheek</t>
  </si>
  <si>
    <t>* schulden op korte termijn</t>
  </si>
  <si>
    <t>Korte toelichting</t>
  </si>
  <si>
    <t xml:space="preserve"> * een afname, bijv. door afschrijvingen, is wel een kostenpost, maar gaan uitgave liquide middelen;</t>
  </si>
  <si>
    <t xml:space="preserve"> * een toename van vaste activa kan ontstaan door aankoop/verbouw, is geen kostenpost, wel uitgave liquide middelen.</t>
  </si>
  <si>
    <t xml:space="preserve"> * een afname van de vorderingen betekent een toename van de liquide middelen</t>
  </si>
  <si>
    <t xml:space="preserve"> * een toename van de vorderingen betekent dat liquide middelen nog niet zijn ontvangen</t>
  </si>
  <si>
    <t xml:space="preserve"> * een toename van de hypotheek, betekent een toename van de liquide middelen;</t>
  </si>
  <si>
    <t>*  een afname van de hypothoeek (bijv. aflossing) betekent een afname van de liquide middelen.</t>
  </si>
  <si>
    <t>* een toevoeging aan de voorziening, betekent een hogere kostenpost, maar geen afname van liquide middelen;</t>
  </si>
  <si>
    <t>* een afname van de voorziening; in eerdere jaren is het als kostenpost meegenomen, en leidt nu tot afname van liquide middelen.</t>
  </si>
  <si>
    <t>* een toename van schulden op korte termijn, betekent dat wel is meegenomen als kostenpost, maar nog niet betaald is.</t>
  </si>
  <si>
    <t>* afname van schulden op korte termijn, betekent dat meer achterstallige betalingen zijn voldaan, dus afname liquide middelen.</t>
  </si>
  <si>
    <t>Vaste activa</t>
  </si>
  <si>
    <t>Vorderingen</t>
  </si>
  <si>
    <t>Schulden op lange termijn / hypotheken</t>
  </si>
  <si>
    <t>Schulden op korte termijn</t>
  </si>
  <si>
    <t>Verslag controlecommissie</t>
  </si>
  <si>
    <t>Controleverklaring / verklaring kascontrolecommissie</t>
  </si>
  <si>
    <t>De jaarrekening sluit met de volgende totalen:</t>
  </si>
  <si>
    <t>Saldo</t>
  </si>
  <si>
    <t>Balanstotaal</t>
  </si>
  <si>
    <t>Opmerkingen en adviezen</t>
  </si>
  <si>
    <t xml:space="preserve">Het onderzoek van de jaarrekening geeft aanleiding tot het maken van </t>
  </si>
  <si>
    <t>de volgende opmerkingen en adviezen:</t>
  </si>
  <si>
    <t xml:space="preserve">* </t>
  </si>
  <si>
    <t>*</t>
  </si>
  <si>
    <t>Verklaring</t>
  </si>
  <si>
    <t>De kascommissie verklaart hierbij alle stukken en bescheiden, betrekking</t>
  </si>
  <si>
    <t>en akkoord bevonden.</t>
  </si>
  <si>
    <t>Plaats ……………………..      datum ………………….</t>
  </si>
  <si>
    <t>Naam (namen) en handtekening(en)</t>
  </si>
  <si>
    <t>naam:</t>
  </si>
  <si>
    <t>adres:</t>
  </si>
  <si>
    <t>pc woonplaats:</t>
  </si>
  <si>
    <t>(handtekening)</t>
  </si>
  <si>
    <t>In opdracht van de oudstenraad van de Lichtboog kerk te Houten</t>
  </si>
  <si>
    <t>Ons onderzoek is uitgevoerd aan de hand van de controlerichtlijnen van oktober 2021.</t>
  </si>
  <si>
    <t>-</t>
  </si>
  <si>
    <t>LOGO kerk</t>
  </si>
  <si>
    <t>Afdrachten aan landelijk kerkverband</t>
  </si>
  <si>
    <t>Collectes afdr landelijk kerkverband</t>
  </si>
  <si>
    <t>AFDRACHTEN AAN LANDELIJK KERKVERBAND</t>
  </si>
  <si>
    <t>Bank hoofdrekening</t>
  </si>
  <si>
    <t>Bankrekening</t>
  </si>
  <si>
    <t>Spaarrekening</t>
  </si>
  <si>
    <t>Te verrekenen diaconie / zending</t>
  </si>
  <si>
    <t>Te verrekenen overige gelden</t>
  </si>
  <si>
    <t>Salariskosten voorgangers</t>
  </si>
  <si>
    <t>Preekvoorziening/preekbeurten</t>
  </si>
  <si>
    <t xml:space="preserve">Reservering vakantiegeld  </t>
  </si>
  <si>
    <t>Reservering eindejaarsuitkering</t>
  </si>
  <si>
    <t>Salaris/verg. ond functies doorberek.</t>
  </si>
  <si>
    <t>Salariskosten voorgangers doorberek.</t>
  </si>
  <si>
    <t>Kosten kerngroepen</t>
  </si>
  <si>
    <t>Kosten start weekend</t>
  </si>
  <si>
    <t>Kosten …</t>
  </si>
  <si>
    <t>Kosten kindernevendienst</t>
  </si>
  <si>
    <t>Kosten tienergroepen</t>
  </si>
  <si>
    <t>Overige uitgaven jongeren</t>
  </si>
  <si>
    <t>Kosten cursussen / opleidingen</t>
  </si>
  <si>
    <t>Kosten pastoraat</t>
  </si>
  <si>
    <t>Quotum predikantenopleiding</t>
  </si>
  <si>
    <t>Kosten inhuur personeel zonder KvK en BTW</t>
  </si>
  <si>
    <t>Directe kosten verhuur</t>
  </si>
  <si>
    <t>Terugbet. energiebel. vorig jaar kerkgebouw(en)</t>
  </si>
  <si>
    <t>Betalingsverschil …</t>
  </si>
  <si>
    <t xml:space="preserve">Indirecte kosten verhuur </t>
  </si>
  <si>
    <t>Overig drukwerk / kopieerkosten</t>
  </si>
  <si>
    <t>Kosten planning online</t>
  </si>
  <si>
    <t>Softwarekosten financiële administratie</t>
  </si>
  <si>
    <t>Kosten software</t>
  </si>
  <si>
    <t>Muzieklicenties etc.</t>
  </si>
  <si>
    <t>Kleine aanschaf en onderh hardware</t>
  </si>
  <si>
    <t>Afschrijvingskosten gebouw</t>
  </si>
  <si>
    <t>Inkomsten cursussen</t>
  </si>
  <si>
    <t>Collecte doelbestemming</t>
  </si>
  <si>
    <t>De aanschafwaarde van het gebouw is ….</t>
  </si>
  <si>
    <t>De verzekerde waarde van het gebouw is ….</t>
  </si>
  <si>
    <t>De verzekerde waarde van de inventaris en installaties is…</t>
  </si>
  <si>
    <t>De investeringen in 2021 betreffen: …..</t>
  </si>
  <si>
    <t>Hypothecaire lening(en), looptijd t/m ….. Rentepercentage …</t>
  </si>
  <si>
    <t>Leningen gemeenteleden, looptijd t/m ... rentepercentage …</t>
  </si>
  <si>
    <t>Toelichting</t>
  </si>
  <si>
    <t>Algemeen</t>
  </si>
  <si>
    <t xml:space="preserve">De jaarrekening is opgemaakt op basis van historische kostprijs. De waardering van de activa en </t>
  </si>
  <si>
    <t>passiva is, voor zover niet anders vermeld, tegen nominale waarde.</t>
  </si>
  <si>
    <t>Bij de waardering en de presentatie van de balansposten is zoveel mogelijk aangesloten bij</t>
  </si>
  <si>
    <t>het model van Steunpunt Kerkenwerk.</t>
  </si>
  <si>
    <t>Tenzij anders vermeld zijn de materiele vaste activa gewaardeerd tegen de aanschaffingsprijs,</t>
  </si>
  <si>
    <t>verminderd met lineaire afschrijvingen, gebaseerd op de geschatte levensduur en rekening</t>
  </si>
  <si>
    <t>houdende met de eventuele restwaarde.</t>
  </si>
  <si>
    <t>Als de aanschaffing of bouw van de vaste activa meer dan 30 jaar geleden is zijn de</t>
  </si>
  <si>
    <t>vaste activa gewaardeerd tegen de actuele waarde.</t>
  </si>
  <si>
    <t>Als het beschikbaar is, wordt uitgegaan van de meest recente WOZ-waarde.</t>
  </si>
  <si>
    <t>Jaarlijkse wijzigingen van de actuele waarde worden niet verwerkt in de</t>
  </si>
  <si>
    <t xml:space="preserve">staat van baten en lasten, maar rechtstreeks in een herwaarderings-/bestemmingsfonds. </t>
  </si>
  <si>
    <t>Gelden in dit fonds kunnen pas vrij worden besteed als de vaste activa is verkocht.</t>
  </si>
  <si>
    <t>Beleggingen</t>
  </si>
  <si>
    <t>Aandelen en obligaties worden gewaardeerd tegen actuele waarde, zijnde de beurskoers</t>
  </si>
  <si>
    <t>per 31 december. Dividend, rente en waardeveranderingen worden verwerkt in de</t>
  </si>
  <si>
    <t>staat van baten en lasten.</t>
  </si>
  <si>
    <t xml:space="preserve">De vorderingen zijn gewaardeerd tegen nominale waarde, zo nodig na aftrek van een </t>
  </si>
  <si>
    <t>voorziening voor oninbaarheid.</t>
  </si>
  <si>
    <t>Liquide middelen en overige activa en passiva</t>
  </si>
  <si>
    <t>De liquide middelen en overige activa en passiva zijn gewaardeerd tegen nominale waarde.</t>
  </si>
  <si>
    <t>Voorziening/kostenegalisatie onderhoud</t>
  </si>
  <si>
    <t>Een voorziening voor groot onderhoud is gevormd op basis van het (meerjaren)onderhoudsplan.</t>
  </si>
  <si>
    <t xml:space="preserve">De voorziening is gewaardeerd tegen nominale waarde. De jaarlijkse toevoeging wordt als </t>
  </si>
  <si>
    <t>kostenpost geboekt op de staat van baten en lasten. De werkelijke onderhoudskosten worden</t>
  </si>
  <si>
    <t>rechtstreeks afgeboekt van de opgebouwde voorziening.</t>
  </si>
  <si>
    <t>Grondslagen van resultaatbepaling</t>
  </si>
  <si>
    <t>Tenzij hieronder anders vermeld worden alle baten en lasten verantwoord in het jaar</t>
  </si>
  <si>
    <t>waarop zij betrekking hebben.</t>
  </si>
  <si>
    <t>Vaste vrijwillige bijdragen (VVB)</t>
  </si>
  <si>
    <t xml:space="preserve">Vaste vrijwillige bijdragen worden verantwoord in het jaar waarin zij zijn ontvangen. </t>
  </si>
  <si>
    <t>VVB-ontvangsten van januari van het volgend jaar, waaruit duidelijk blijkt dat deze</t>
  </si>
  <si>
    <t>betrekking hebben over eerdere jaren, worden meegenomen bij de baten.</t>
  </si>
  <si>
    <t xml:space="preserve">Collecten </t>
  </si>
  <si>
    <t xml:space="preserve">Collecten worden verantwoord in het jaar waarin de collecten volgens het collecterooster </t>
  </si>
  <si>
    <t>gehouden zijn.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</si>
</sst>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9" x14ac:knownFonts="1">
    <font>
      <sz val="10"/>
      <color theme="1"/>
      <name val="Arial"/>
      <family val="2"/>
    </font>
    <font>
      <b/>
      <sz val="10"/>
      <color theme="1"/>
      <name val="Arial"/>
      <family val="2"/>
    </font>
    <font>
      <b/>
      <sz val="12"/>
      <color theme="1"/>
      <name val="Arial"/>
      <family val="2"/>
    </font>
    <font>
      <b/>
      <sz val="14"/>
      <color theme="1"/>
      <name val="Arial"/>
      <family val="2"/>
    </font>
    <font>
      <i/>
      <sz val="10"/>
      <color theme="1"/>
      <name val="Arial"/>
      <family val="2"/>
    </font>
    <font>
      <b/>
      <sz val="20"/>
      <color theme="1"/>
      <name val="Arial"/>
      <family val="2"/>
    </font>
    <font>
      <b/>
      <sz val="24"/>
      <color theme="1"/>
      <name val="Arial"/>
      <family val="2"/>
    </font>
    <font>
      <b/>
      <sz val="10"/>
      <name val="Calibri"/>
    </font>
    <font>
      <sz val="6"/>
      <color theme="1"/>
      <name val="Arial"/>
      <family val="2"/>
    </font>
    <font>
      <b/>
      <sz val="10"/>
      <name val="Calibri"/>
      <family val="2"/>
    </font>
    <font>
      <sz val="10"/>
      <name val="Calibri"/>
      <family val="2"/>
    </font>
    <font>
      <sz val="10"/>
      <color theme="0"/>
      <name val="Arial"/>
      <family val="2"/>
    </font>
    <font>
      <sz val="8"/>
      <color theme="1"/>
      <name val="Arial"/>
      <family val="2"/>
    </font>
    <font>
      <b/>
      <sz val="8"/>
      <color theme="1"/>
      <name val="Arial"/>
      <family val="2"/>
    </font>
    <font>
      <sz val="10"/>
      <color theme="9" tint="-0.249977111117893"/>
      <name val="Arial"/>
      <family val="2"/>
    </font>
    <font>
      <b/>
      <sz val="10"/>
      <color theme="1" tint="4.9989318521683403E-2"/>
      <name val="Calibri"/>
      <family val="2"/>
    </font>
    <font>
      <b/>
      <sz val="12"/>
      <name val="Century Gothic"/>
      <family val="2"/>
    </font>
    <font>
      <sz val="12"/>
      <name val="Century Gothic"/>
      <family val="2"/>
    </font>
    <font>
      <b/>
      <sz val="14"/>
      <name val="Century Gothic"/>
      <family val="2"/>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5">
    <border>
      <left/>
      <right/>
      <top/>
      <bottom/>
      <diagonal/>
    </border>
    <border>
      <left/>
      <right/>
      <top style="thin">
        <color auto="1"/>
      </top>
      <bottom/>
      <diagonal/>
    </border>
    <border>
      <left/>
      <right/>
      <top style="thin">
        <color auto="1"/>
      </top>
      <bottom style="medium">
        <color auto="1"/>
      </bottom>
      <diagonal/>
    </border>
    <border>
      <left/>
      <right/>
      <top/>
      <bottom style="thin">
        <color indexed="64"/>
      </bottom>
      <diagonal/>
    </border>
    <border>
      <left/>
      <right/>
      <top/>
      <bottom style="medium">
        <color auto="1"/>
      </bottom>
      <diagonal/>
    </border>
  </borders>
  <cellStyleXfs count="2">
    <xf numFmtId="0" fontId="0" fillId="0" borderId="0"/>
    <xf numFmtId="0" fontId="10" fillId="0" borderId="0"/>
  </cellStyleXfs>
  <cellXfs count="69">
    <xf numFmtId="0" fontId="0" fillId="0" borderId="0" xfId="0"/>
    <xf numFmtId="0" fontId="1" fillId="0" borderId="0" xfId="0" applyFont="1"/>
    <xf numFmtId="0" fontId="2" fillId="0" borderId="0" xfId="0" applyFont="1"/>
    <xf numFmtId="0" fontId="0" fillId="2" borderId="0" xfId="0" applyFill="1" applyAlignment="1" applyProtection="1">
      <alignment horizontal="left"/>
      <protection locked="0"/>
    </xf>
    <xf numFmtId="14" fontId="0" fillId="2" borderId="0" xfId="0" applyNumberFormat="1" applyFill="1" applyAlignment="1" applyProtection="1">
      <alignment horizontal="left"/>
      <protection locked="0"/>
    </xf>
    <xf numFmtId="0" fontId="0" fillId="0" borderId="0" xfId="0" applyAlignment="1">
      <alignment horizontal="right"/>
    </xf>
    <xf numFmtId="4" fontId="0" fillId="0" borderId="0" xfId="0" applyNumberFormat="1"/>
    <xf numFmtId="0" fontId="0" fillId="0" borderId="0" xfId="0" applyAlignment="1" applyProtection="1">
      <alignment horizontal="left"/>
      <protection locked="0"/>
    </xf>
    <xf numFmtId="0" fontId="0" fillId="0" borderId="0" xfId="0" applyProtection="1">
      <protection locked="0"/>
    </xf>
    <xf numFmtId="0" fontId="3" fillId="0" borderId="0" xfId="0" applyFont="1"/>
    <xf numFmtId="0" fontId="4" fillId="0" borderId="0" xfId="0" applyFont="1"/>
    <xf numFmtId="3" fontId="0" fillId="0" borderId="0" xfId="0" applyNumberFormat="1"/>
    <xf numFmtId="3" fontId="0" fillId="0" borderId="1" xfId="0" applyNumberFormat="1" applyBorder="1"/>
    <xf numFmtId="3" fontId="4" fillId="0" borderId="1" xfId="0" applyNumberFormat="1" applyFont="1" applyBorder="1"/>
    <xf numFmtId="14" fontId="1" fillId="0" borderId="0" xfId="0" applyNumberFormat="1" applyFont="1"/>
    <xf numFmtId="3" fontId="1" fillId="0" borderId="2" xfId="0" applyNumberFormat="1" applyFont="1" applyBorder="1"/>
    <xf numFmtId="0" fontId="1" fillId="0" borderId="0" xfId="0" applyFont="1" applyAlignment="1">
      <alignment horizontal="right"/>
    </xf>
    <xf numFmtId="3" fontId="1" fillId="0" borderId="1" xfId="0" applyNumberFormat="1" applyFont="1" applyBorder="1"/>
    <xf numFmtId="3" fontId="1" fillId="0" borderId="0" xfId="0" applyNumberFormat="1" applyFont="1"/>
    <xf numFmtId="0" fontId="0" fillId="0" borderId="1" xfId="0" applyBorder="1"/>
    <xf numFmtId="2" fontId="0" fillId="0" borderId="1" xfId="0" applyNumberFormat="1" applyBorder="1"/>
    <xf numFmtId="0" fontId="1" fillId="0" borderId="1" xfId="0" applyFont="1" applyBorder="1"/>
    <xf numFmtId="0" fontId="0" fillId="0" borderId="0" xfId="0" applyAlignment="1">
      <alignment wrapText="1"/>
    </xf>
    <xf numFmtId="4" fontId="0" fillId="0" borderId="1" xfId="0" applyNumberFormat="1" applyBorder="1"/>
    <xf numFmtId="0" fontId="1" fillId="0" borderId="0" xfId="0" applyFont="1" applyAlignment="1">
      <alignment horizontal="right" wrapText="1"/>
    </xf>
    <xf numFmtId="3" fontId="4" fillId="0" borderId="0" xfId="0" applyNumberFormat="1" applyFont="1"/>
    <xf numFmtId="0" fontId="7" fillId="0" borderId="0" xfId="0" applyFont="1"/>
    <xf numFmtId="0" fontId="0" fillId="0" borderId="0" xfId="0" quotePrefix="1"/>
    <xf numFmtId="0" fontId="1" fillId="0" borderId="0" xfId="0" applyFont="1" applyAlignment="1">
      <alignment horizontal="center"/>
    </xf>
    <xf numFmtId="0" fontId="0" fillId="0" borderId="0" xfId="0" applyAlignment="1">
      <alignment horizontal="center"/>
    </xf>
    <xf numFmtId="3" fontId="0" fillId="0" borderId="0" xfId="0" applyNumberFormat="1" applyAlignment="1">
      <alignment horizontal="center"/>
    </xf>
    <xf numFmtId="3" fontId="0" fillId="0" borderId="2" xfId="0" applyNumberFormat="1" applyBorder="1"/>
    <xf numFmtId="0" fontId="0" fillId="0" borderId="0" xfId="0" applyAlignment="1">
      <alignment horizontal="right" wrapText="1"/>
    </xf>
    <xf numFmtId="3" fontId="8" fillId="0" borderId="0" xfId="0" applyNumberFormat="1" applyFont="1" applyAlignment="1">
      <alignment horizontal="right" wrapText="1"/>
    </xf>
    <xf numFmtId="0" fontId="8" fillId="0" borderId="0" xfId="0" applyFont="1" applyAlignment="1">
      <alignment horizontal="right" wrapText="1"/>
    </xf>
    <xf numFmtId="0" fontId="0" fillId="0" borderId="1" xfId="0" applyBorder="1" applyAlignment="1">
      <alignment horizontal="center"/>
    </xf>
    <xf numFmtId="3" fontId="0" fillId="0" borderId="1" xfId="0" applyNumberFormat="1" applyBorder="1" applyAlignment="1">
      <alignment horizontal="center"/>
    </xf>
    <xf numFmtId="3" fontId="0" fillId="0" borderId="3" xfId="0" applyNumberFormat="1" applyBorder="1"/>
    <xf numFmtId="0" fontId="0" fillId="0" borderId="3" xfId="0" applyBorder="1" applyAlignment="1">
      <alignment horizontal="right"/>
    </xf>
    <xf numFmtId="3" fontId="8" fillId="0" borderId="3" xfId="0" applyNumberFormat="1" applyFont="1" applyBorder="1" applyAlignment="1">
      <alignment horizontal="right" wrapText="1"/>
    </xf>
    <xf numFmtId="0" fontId="0" fillId="0" borderId="2" xfId="0" applyBorder="1"/>
    <xf numFmtId="0" fontId="1" fillId="0" borderId="3" xfId="0" applyFont="1" applyBorder="1" applyAlignment="1">
      <alignment horizontal="center"/>
    </xf>
    <xf numFmtId="3" fontId="0" fillId="0" borderId="4" xfId="0" applyNumberFormat="1" applyBorder="1"/>
    <xf numFmtId="0" fontId="1" fillId="0" borderId="0" xfId="0" applyFont="1" applyAlignment="1">
      <alignment wrapText="1"/>
    </xf>
    <xf numFmtId="0" fontId="0" fillId="0" borderId="3" xfId="0" applyBorder="1"/>
    <xf numFmtId="0" fontId="0" fillId="0" borderId="3" xfId="0" applyBorder="1" applyAlignment="1">
      <alignment horizontal="right" wrapText="1"/>
    </xf>
    <xf numFmtId="0" fontId="0" fillId="0" borderId="3" xfId="0" applyBorder="1" applyAlignment="1">
      <alignment horizontal="center"/>
    </xf>
    <xf numFmtId="0" fontId="10" fillId="0" borderId="0" xfId="1"/>
    <xf numFmtId="4" fontId="10" fillId="0" borderId="0" xfId="1" applyNumberFormat="1"/>
    <xf numFmtId="0" fontId="9" fillId="0" borderId="0" xfId="1" applyFont="1"/>
    <xf numFmtId="0" fontId="1" fillId="0" borderId="3" xfId="0" applyFont="1" applyBorder="1"/>
    <xf numFmtId="0" fontId="11" fillId="0" borderId="0" xfId="0" applyFont="1"/>
    <xf numFmtId="0" fontId="11" fillId="0" borderId="0" xfId="0" quotePrefix="1" applyFont="1"/>
    <xf numFmtId="0" fontId="12" fillId="0" borderId="0" xfId="0" applyFont="1"/>
    <xf numFmtId="0" fontId="13" fillId="0" borderId="0" xfId="0" applyFont="1" applyAlignment="1">
      <alignment horizontal="right"/>
    </xf>
    <xf numFmtId="164" fontId="13" fillId="0" borderId="0" xfId="0" applyNumberFormat="1" applyFont="1" applyAlignment="1">
      <alignment horizontal="right"/>
    </xf>
    <xf numFmtId="0" fontId="14" fillId="0" borderId="0" xfId="0" applyFont="1"/>
    <xf numFmtId="4" fontId="14" fillId="0" borderId="0" xfId="0" applyNumberFormat="1" applyFont="1"/>
    <xf numFmtId="0" fontId="15" fillId="0" borderId="0" xfId="0" applyFont="1"/>
    <xf numFmtId="3" fontId="0" fillId="3" borderId="0" xfId="0" applyNumberFormat="1" applyFill="1"/>
    <xf numFmtId="0" fontId="16" fillId="0" borderId="0" xfId="0" applyFont="1"/>
    <xf numFmtId="0" fontId="17" fillId="0" borderId="0" xfId="0" applyFont="1"/>
    <xf numFmtId="0" fontId="17" fillId="0" borderId="0" xfId="0" applyFont="1" applyAlignment="1">
      <alignment horizontal="left" vertical="top" wrapText="1"/>
    </xf>
    <xf numFmtId="0" fontId="18" fillId="0" borderId="0" xfId="0" applyFont="1"/>
    <xf numFmtId="0" fontId="6" fillId="0" borderId="0" xfId="0" applyFont="1" applyAlignment="1">
      <alignment horizontal="center"/>
    </xf>
    <xf numFmtId="0" fontId="5" fillId="0" borderId="0" xfId="0" applyFont="1" applyAlignment="1">
      <alignment horizontal="center"/>
    </xf>
    <xf numFmtId="0" fontId="0" fillId="0" borderId="0" xfId="0" applyAlignment="1">
      <alignment wrapText="1"/>
    </xf>
    <xf numFmtId="0" fontId="1" fillId="0" borderId="3" xfId="0" applyFont="1" applyBorder="1" applyAlignment="1">
      <alignment horizontal="center"/>
    </xf>
    <xf numFmtId="0" fontId="3" fillId="0" borderId="0" xfId="0" applyFont="1" applyAlignment="1">
      <alignment wrapText="1"/>
    </xf>
  </cellXfs>
  <cellStyles count="2">
    <cellStyle name="Standaard" xfId="0" builtinId="0"/>
    <cellStyle name="Standaard 2" xfId="1" xr:uid="{1DE0A2D1-63CD-4A36-B1FD-34D86C0DF72B}"/>
  </cellStyles>
  <dxfs count="39">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numFmt numFmtId="4" formatCode="#,##0.00"/>
    </dxf>
    <dxf>
      <font>
        <b/>
        <i val="0"/>
        <strike val="0"/>
        <condense val="0"/>
        <extend val="0"/>
        <outline val="0"/>
        <shadow val="0"/>
        <u val="none"/>
        <vertAlign val="baseline"/>
        <sz val="10"/>
        <color auto="1"/>
        <name val="Calibri"/>
        <family val="2"/>
        <scheme val="none"/>
      </font>
    </dxf>
    <dxf>
      <numFmt numFmtId="4" formatCode="#,##0.00"/>
    </dxf>
    <dxf>
      <numFmt numFmtId="4" formatCode="#,##0.00"/>
    </dxf>
    <dxf>
      <numFmt numFmtId="4" formatCode="#,##0.00"/>
    </dxf>
    <dxf>
      <numFmt numFmtId="4" formatCode="#,##0.00"/>
    </dxf>
    <dxf>
      <numFmt numFmtId="4" formatCode="#,##0.00"/>
    </dxf>
    <dxf>
      <numFmt numFmtId="4" formatCode="#,##0.00"/>
    </dxf>
    <dxf>
      <font>
        <strike val="0"/>
        <outline val="0"/>
        <shadow val="0"/>
        <u val="none"/>
        <vertAlign val="baseline"/>
        <sz val="10"/>
        <color theme="9" tint="-0.249977111117893"/>
      </font>
      <numFmt numFmtId="4" formatCode="#,##0.00"/>
    </dxf>
    <dxf>
      <numFmt numFmtId="4" formatCode="#,##0.00"/>
    </dxf>
    <dxf>
      <font>
        <strike val="0"/>
        <outline val="0"/>
        <shadow val="0"/>
        <u val="none"/>
        <vertAlign val="baseline"/>
        <sz val="10"/>
        <color theme="9" tint="-0.249977111117893"/>
        <name val="Arial"/>
        <family val="2"/>
        <scheme val="none"/>
      </font>
      <numFmt numFmtId="4" formatCode="#,##0.0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protection locked="0" hidden="0"/>
    </dxf>
    <dxf>
      <protection locked="0" hidden="0"/>
    </dxf>
    <dxf>
      <alignment horizontal="left" vertical="bottom" textRotation="0" wrapText="0" indent="0" justifyLastLine="0" shrinkToFit="0" readingOrder="0"/>
      <protection locked="0" hidden="0"/>
    </dxf>
    <dxf>
      <protection locked="0" hidden="0"/>
    </dxf>
  </dxfs>
  <tableStyles count="0" defaultTableStyle="TableStyleMedium2" defaultPivotStyle="PivotStyleLight16"/>
  <colors>
    <mruColors>
      <color rgb="FFF4A589"/>
      <color rgb="FF7B0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jrrekhulptabel" displayName="jrrekhulptabel" ref="A12:C17" totalsRowShown="0" dataDxfId="38">
  <autoFilter ref="A12:C17" xr:uid="{00000000-0009-0000-0100-000001000000}"/>
  <tableColumns count="3">
    <tableColumn id="1" xr3:uid="{00000000-0010-0000-0000-000001000000}" name="Verslagjaar" dataDxfId="37"/>
    <tableColumn id="2" xr3:uid="{00000000-0010-0000-0000-000002000000}" name="Kolom begroting" dataDxfId="36"/>
    <tableColumn id="3" xr3:uid="{00000000-0010-0000-0000-000003000000}" name="Kolom realisatie" dataDxfId="3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jrrekdata_grb" displayName="jrrekdata_grb" ref="A3:M128" totalsRowShown="0">
  <autoFilter ref="A3:M128" xr:uid="{00000000-0009-0000-0100-000002000000}"/>
  <tableColumns count="13">
    <tableColumn id="1" xr3:uid="{00000000-0010-0000-0100-000001000000}" name="Nr."/>
    <tableColumn id="2" xr3:uid="{00000000-0010-0000-0100-000002000000}" name="Grootboekrekening"/>
    <tableColumn id="3" xr3:uid="{00000000-0010-0000-0100-000003000000}" name="Beginbalans"/>
    <tableColumn id="4" xr3:uid="{00000000-0010-0000-0100-000004000000}" name="Balans saldo"/>
    <tableColumn id="5" xr3:uid="{00000000-0010-0000-0100-000005000000}" name="Balans vorig jaar" dataDxfId="19"/>
    <tableColumn id="6" xr3:uid="{00000000-0010-0000-0100-000006000000}" name="Saldo W&amp;V" dataDxfId="18"/>
    <tableColumn id="7" xr3:uid="{00000000-0010-0000-0100-000007000000}" name="W&amp;V vorig jr." dataDxfId="17"/>
    <tableColumn id="8" xr3:uid="{00000000-0010-0000-0100-000008000000}" name="Budget" dataDxfId="16"/>
    <tableColumn id="9" xr3:uid="{F84BE879-B7AD-46F7-91CF-A6C692046644}" name="Verdichtingscode" dataDxfId="15"/>
    <tableColumn id="10" xr3:uid="{67AD2B83-6817-42D3-96D2-D0A3E2799D0B}" name="Naam verdichting" dataDxfId="14"/>
    <tableColumn id="11" xr3:uid="{FFE531FB-AD7B-4A8E-8520-77876BB23C2F}" name="Subverdichtingscode" dataDxfId="13"/>
    <tableColumn id="12" xr3:uid="{9E43947C-9210-433B-8C9B-011D75443C28}" name="Naam subverdichting" dataDxfId="12"/>
    <tableColumn id="13" xr3:uid="{036E6FBD-526D-4FBB-9172-266922DA6B51}" name="NGK ANBI code" dataDxfId="1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60B7C56-10D7-4A94-AEC7-FDEE4D880108}" name="kolbaltmin1" displayName="kolbaltmin1" ref="A1:M135" totalsRowShown="0" headerRowDxfId="10" headerRowCellStyle="Standaard 2" dataCellStyle="Standaard 2">
  <autoFilter ref="A1:M135" xr:uid="{460B7C56-10D7-4A94-AEC7-FDEE4D880108}"/>
  <tableColumns count="13">
    <tableColumn id="1" xr3:uid="{54730EED-300B-4EA9-A8E9-6CE6C4A848FB}" name="Nr." dataCellStyle="Standaard 2"/>
    <tableColumn id="2" xr3:uid="{959ACA0A-6B8D-490B-B97B-91A2E1E299D4}" name="Grootboekrekening" dataCellStyle="Standaard 2"/>
    <tableColumn id="3" xr3:uid="{FFF60CA6-0906-43FE-B14F-7F88F0D6E348}" name="Beginbalans" dataCellStyle="Standaard 2"/>
    <tableColumn id="4" xr3:uid="{13C9FC05-4856-44C4-BBE2-4DF5EC330F35}" name="Balans saldo" dataCellStyle="Standaard 2"/>
    <tableColumn id="5" xr3:uid="{26FC5114-476B-4CCD-8737-472B2BAE6AE4}" name="Balans vorig jaar" dataCellStyle="Standaard 2"/>
    <tableColumn id="6" xr3:uid="{38FF9319-FA95-4334-A0B4-A611EA8224CE}" name="Saldo W&amp;V" dataDxfId="9" dataCellStyle="Standaard 2"/>
    <tableColumn id="7" xr3:uid="{B6F4D4B3-6F33-4A91-B053-FABA01804D73}" name="W&amp;V vorig jr." dataDxfId="8" dataCellStyle="Standaard 2"/>
    <tableColumn id="8" xr3:uid="{6A45EE03-B566-47DD-B225-581446709AC8}" name="Budget" dataCellStyle="Standaard 2"/>
    <tableColumn id="9" xr3:uid="{71C5A677-590C-4444-B901-3D7D001689B0}" name="Verdichtingscode" dataCellStyle="Standaard 2"/>
    <tableColumn id="10" xr3:uid="{6A7480CF-713A-4F3C-8193-495AC2B49849}" name="Naam verdichting" dataCellStyle="Standaard 2"/>
    <tableColumn id="11" xr3:uid="{F64401CB-DC2B-4FC7-9975-3AEA063C1DFD}" name="Subverdichtingscode" dataCellStyle="Standaard 2"/>
    <tableColumn id="12" xr3:uid="{8AF43BEB-BF18-4BD2-8478-142D06825CA8}" name="Naam subverdichting" dataCellStyle="Standaard 2"/>
    <tableColumn id="13" xr3:uid="{0AE6330B-3C09-4ECC-A0FE-554181728A41}" name="NGK ANBI code" dataCellStyle="Standaard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jrrekdata_subverdichting" displayName="jrrekdata_subverdichting" ref="A3:H39" totalsRowShown="0">
  <autoFilter ref="A3:H39" xr:uid="{00000000-0009-0000-0100-000006000000}"/>
  <sortState xmlns:xlrd2="http://schemas.microsoft.com/office/spreadsheetml/2017/richdata2" ref="A4:G39">
    <sortCondition ref="A3:A39"/>
  </sortState>
  <tableColumns count="8">
    <tableColumn id="1" xr3:uid="{00000000-0010-0000-0200-000001000000}" name="subverdichting code"/>
    <tableColumn id="2" xr3:uid="{00000000-0010-0000-0200-000002000000}" name="omschrijving subverdichting">
      <calculatedColumnFormula>VLOOKUP($A4,subverdichting[[Nummer subverdichting]:[Naam subverdichting]],2,FALSE)</calculatedColumnFormula>
    </tableColumn>
    <tableColumn id="3" xr3:uid="{00000000-0010-0000-0200-000003000000}" name="leeg1"/>
    <tableColumn id="4" xr3:uid="{00000000-0010-0000-0200-000004000000}" name="leeg2"/>
    <tableColumn id="5" xr3:uid="{00000000-0010-0000-0200-000005000000}" name="Saldi 2021" dataDxfId="7">
      <calculatedColumnFormula>SUMIFS(jrrekdata_grb[Balans vorig jaar],jrrekdata_grb[Balans saldo],'Tabel jaarrekening subverdichti'!$A4)</calculatedColumnFormula>
    </tableColumn>
    <tableColumn id="6" xr3:uid="{00000000-0010-0000-0200-000006000000}" name="Begroting 2021" dataDxfId="6">
      <calculatedColumnFormula>SUMIFS(jrrekdata_grb[Saldo W&amp;V],jrrekdata_grb[Balans saldo],'Tabel jaarrekening subverdichti'!$A4)</calculatedColumnFormula>
    </tableColumn>
    <tableColumn id="7" xr3:uid="{00000000-0010-0000-0200-000007000000}" name="Saldi 20202" dataDxfId="5">
      <calculatedColumnFormula>SUMIFS(jrrekdata_grb[W&amp;V vorig jr.],jrrekdata_grb[Balans saldo],'Tabel jaarrekening subverdichti'!$A4)</calculatedColumnFormula>
    </tableColumn>
    <tableColumn id="8" xr3:uid="{00000000-0010-0000-0200-000008000000}" name="BB 2020" dataDxfId="4">
      <calculatedColumnFormula>SUMIFS(jrrekdata_grb[Budget],jrrekdata_grb[Balans saldo],'Tabel jaarrekening subverdichti'!$A4)</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jrrekdata_hoofdver" displayName="jrrekdata_hoofdver" ref="A3:H19" totalsRowShown="0">
  <autoFilter ref="A3:H19" xr:uid="{00000000-0009-0000-0100-000005000000}"/>
  <sortState xmlns:xlrd2="http://schemas.microsoft.com/office/spreadsheetml/2017/richdata2" ref="A4:G19">
    <sortCondition ref="A3:A19"/>
  </sortState>
  <tableColumns count="8">
    <tableColumn id="1" xr3:uid="{00000000-0010-0000-0300-000001000000}" name="hoofdverdichting code"/>
    <tableColumn id="2" xr3:uid="{00000000-0010-0000-0300-000002000000}" name="omschrijving hoofdverdichting">
      <calculatedColumnFormula>VLOOKUP($A4,hoofdverdichting[],2,FALSE)</calculatedColumnFormula>
    </tableColumn>
    <tableColumn id="3" xr3:uid="{00000000-0010-0000-0300-000003000000}" name="leeg1"/>
    <tableColumn id="4" xr3:uid="{00000000-0010-0000-0300-000004000000}" name="leeg2"/>
    <tableColumn id="5" xr3:uid="{00000000-0010-0000-0300-000005000000}" name="Saldi 2021" dataDxfId="3">
      <calculatedColumnFormula>SUMIFS(jrrekdata_grb[Balans vorig jaar],jrrekdata_grb[Beginbalans],'Tabel jaarrekening hoofdverdich'!$A4)</calculatedColumnFormula>
    </tableColumn>
    <tableColumn id="6" xr3:uid="{00000000-0010-0000-0300-000006000000}" name="Begroting 2021" dataDxfId="2">
      <calculatedColumnFormula>SUMIFS(jrrekdata_grb[Saldo W&amp;V],jrrekdata_grb[Beginbalans],'Tabel jaarrekening hoofdverdich'!$A4)</calculatedColumnFormula>
    </tableColumn>
    <tableColumn id="7" xr3:uid="{00000000-0010-0000-0300-000007000000}" name="Saldi 2020" dataDxfId="1">
      <calculatedColumnFormula>SUMIFS(jrrekdata_grb[W&amp;V vorig jr.],jrrekdata_grb[Beginbalans],'Tabel jaarrekening hoofdverdich'!$A4)</calculatedColumnFormula>
    </tableColumn>
    <tableColumn id="8" xr3:uid="{00000000-0010-0000-0300-000008000000}" name="BB 2020" dataDxfId="0">
      <calculatedColumnFormula>SUMIFS(jrrekdata_grb[Budget],jrrekdata_grb[Beginbalans],'Tabel jaarrekening hoofdverdich'!$A4)</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subverdichting" displayName="subverdichting" ref="A3:C39" totalsRowShown="0">
  <autoFilter ref="A3:C39" xr:uid="{00000000-0009-0000-0100-000003000000}"/>
  <tableColumns count="3">
    <tableColumn id="1" xr3:uid="{00000000-0010-0000-0400-000001000000}" name="Nummer subverdichting"/>
    <tableColumn id="2" xr3:uid="{00000000-0010-0000-0400-000002000000}" name="Naam subverdichting"/>
    <tableColumn id="3" xr3:uid="{00000000-0010-0000-0400-000003000000}" name="Nummer hoofdverdichting"/>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hoofdverdichting" displayName="hoofdverdichting" ref="A3:B19" totalsRowShown="0">
  <autoFilter ref="A3:B19" xr:uid="{00000000-0009-0000-0100-000004000000}"/>
  <tableColumns count="2">
    <tableColumn id="1" xr3:uid="{00000000-0010-0000-0500-000001000000}" name="Nummer hoofdverdichting"/>
    <tableColumn id="2" xr3:uid="{00000000-0010-0000-0500-000002000000}" name="Naam hoofdverdichting"/>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5F55B-7FD8-45CA-8195-C969B5C6D5A5}">
  <dimension ref="A1"/>
  <sheetViews>
    <sheetView workbookViewId="0">
      <selection activeCell="E11" sqref="E11"/>
    </sheetView>
  </sheetViews>
  <sheetFormatPr defaultRowHeight="12.75" x14ac:dyDescent="0.2"/>
  <sheetData>
    <row r="1" spans="1:1" x14ac:dyDescent="0.2">
      <c r="A1" t="s">
        <v>183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tabColor rgb="FF92D050"/>
  </sheetPr>
  <dimension ref="A1:L145"/>
  <sheetViews>
    <sheetView workbookViewId="0">
      <selection activeCell="A131" sqref="A131"/>
    </sheetView>
  </sheetViews>
  <sheetFormatPr defaultRowHeight="12.75" outlineLevelRow="1" outlineLevelCol="1" x14ac:dyDescent="0.2"/>
  <cols>
    <col min="1" max="1" width="37.42578125" customWidth="1"/>
    <col min="2" max="2" width="15.7109375" hidden="1" customWidth="1" outlineLevel="1"/>
    <col min="3" max="3" width="9.140625" customWidth="1" collapsed="1"/>
    <col min="4" max="4" width="9.7109375" bestFit="1" customWidth="1"/>
    <col min="5" max="5" width="10.140625" bestFit="1" customWidth="1"/>
    <col min="6" max="6" width="10.140625" customWidth="1"/>
    <col min="7" max="7" width="9.7109375" bestFit="1" customWidth="1"/>
    <col min="8" max="8" width="10.140625" customWidth="1"/>
    <col min="9" max="9" width="11.7109375" bestFit="1" customWidth="1" outlineLevel="1"/>
    <col min="10" max="12" width="10.140625" bestFit="1" customWidth="1"/>
  </cols>
  <sheetData>
    <row r="1" spans="1:9" ht="18" x14ac:dyDescent="0.25">
      <c r="A1" s="9" t="str">
        <f>"Toelichting op de balans per 31 december "&amp;verslagjaar</f>
        <v>Toelichting op de balans per 31 december 2022</v>
      </c>
      <c r="B1" s="9"/>
    </row>
    <row r="2" spans="1:9" ht="12.75" customHeight="1" x14ac:dyDescent="0.25">
      <c r="A2" s="1"/>
      <c r="B2" s="9"/>
    </row>
    <row r="3" spans="1:9" x14ac:dyDescent="0.2">
      <c r="A3" s="1" t="s">
        <v>84</v>
      </c>
    </row>
    <row r="4" spans="1:9" x14ac:dyDescent="0.2">
      <c r="C4" s="24"/>
      <c r="D4" s="24"/>
      <c r="E4" s="24"/>
      <c r="F4" s="24"/>
      <c r="G4" s="24"/>
    </row>
    <row r="5" spans="1:9" ht="25.5" x14ac:dyDescent="0.2">
      <c r="C5" s="24" t="s">
        <v>479</v>
      </c>
      <c r="D5" s="32" t="s">
        <v>476</v>
      </c>
      <c r="E5" s="32" t="s">
        <v>477</v>
      </c>
      <c r="F5" s="32" t="s">
        <v>478</v>
      </c>
      <c r="G5" s="24" t="s">
        <v>480</v>
      </c>
    </row>
    <row r="6" spans="1:9" ht="17.25" x14ac:dyDescent="0.2">
      <c r="C6" s="5"/>
      <c r="D6" s="33" t="s">
        <v>468</v>
      </c>
      <c r="E6" s="33" t="s">
        <v>468</v>
      </c>
      <c r="F6" s="34" t="s">
        <v>469</v>
      </c>
      <c r="G6" s="5"/>
    </row>
    <row r="7" spans="1:9" x14ac:dyDescent="0.2">
      <c r="C7" s="35" t="s">
        <v>470</v>
      </c>
      <c r="D7" s="36" t="s">
        <v>470</v>
      </c>
      <c r="E7" s="36" t="s">
        <v>470</v>
      </c>
      <c r="F7" s="35" t="s">
        <v>470</v>
      </c>
      <c r="G7" s="35" t="s">
        <v>470</v>
      </c>
    </row>
    <row r="8" spans="1:9" x14ac:dyDescent="0.2">
      <c r="C8" s="29"/>
      <c r="D8" s="30"/>
      <c r="E8" s="30"/>
      <c r="F8" s="29"/>
      <c r="G8" s="29"/>
    </row>
    <row r="9" spans="1:9" x14ac:dyDescent="0.2">
      <c r="A9" s="10" t="s">
        <v>185</v>
      </c>
      <c r="C9" s="29"/>
      <c r="D9" s="30"/>
      <c r="E9" s="30"/>
      <c r="F9" s="29"/>
      <c r="G9" s="29"/>
    </row>
    <row r="10" spans="1:9" x14ac:dyDescent="0.2">
      <c r="A10" t="s">
        <v>471</v>
      </c>
      <c r="B10" t="s">
        <v>218</v>
      </c>
      <c r="C10" s="11">
        <f>SUMIFS(jrrekdata_grb[Beginbalans],jrrekdata_grb[Subverdichtingscode],B10)-C11</f>
        <v>0</v>
      </c>
      <c r="D10" s="11">
        <f>G10+F10-C10</f>
        <v>0</v>
      </c>
      <c r="E10" s="11"/>
      <c r="F10" s="11">
        <f>SUMIFS(jrrekdata_grb[Saldo W&amp;V],jrrekdata_grb[Subverdichtingscode],"96.1")-F23</f>
        <v>0</v>
      </c>
      <c r="G10" s="11">
        <f>SUMIFS(jrrekdata_grb[Balans saldo],jrrekdata_grb[Subverdichtingscode],$B10)-G11</f>
        <v>0</v>
      </c>
      <c r="I10" s="11"/>
    </row>
    <row r="11" spans="1:9" outlineLevel="1" x14ac:dyDescent="0.2">
      <c r="A11" t="s">
        <v>472</v>
      </c>
    </row>
    <row r="12" spans="1:9" outlineLevel="1" x14ac:dyDescent="0.2">
      <c r="D12" s="11"/>
      <c r="E12" s="11"/>
    </row>
    <row r="13" spans="1:9" ht="13.5" outlineLevel="1" thickBot="1" x14ac:dyDescent="0.25">
      <c r="C13" s="31">
        <f>SUBTOTAL(9,C10:C12)</f>
        <v>0</v>
      </c>
      <c r="D13" s="31">
        <f>SUBTOTAL(9,D10:D12)</f>
        <v>0</v>
      </c>
      <c r="E13" s="31">
        <f>SUBTOTAL(9,E10:E12)</f>
        <v>0</v>
      </c>
      <c r="F13" s="31">
        <f>SUBTOTAL(9,F10:F12)</f>
        <v>0</v>
      </c>
      <c r="G13" s="31">
        <f>SUBTOTAL(9,G10:G12)</f>
        <v>0</v>
      </c>
    </row>
    <row r="14" spans="1:9" x14ac:dyDescent="0.2">
      <c r="D14" s="11"/>
      <c r="E14" s="11"/>
    </row>
    <row r="15" spans="1:9" x14ac:dyDescent="0.2">
      <c r="A15" s="10" t="s">
        <v>473</v>
      </c>
      <c r="D15" s="11"/>
      <c r="E15" s="11"/>
    </row>
    <row r="16" spans="1:9" x14ac:dyDescent="0.2">
      <c r="A16" t="s">
        <v>684</v>
      </c>
    </row>
    <row r="17" spans="1:12" x14ac:dyDescent="0.2">
      <c r="A17" t="s">
        <v>685</v>
      </c>
    </row>
    <row r="18" spans="1:12" x14ac:dyDescent="0.2">
      <c r="D18" s="18"/>
      <c r="E18" s="18"/>
    </row>
    <row r="19" spans="1:12" x14ac:dyDescent="0.2">
      <c r="A19" s="10" t="s">
        <v>41</v>
      </c>
      <c r="D19" s="11"/>
      <c r="E19" s="11"/>
    </row>
    <row r="20" spans="1:12" x14ac:dyDescent="0.2">
      <c r="A20" t="s">
        <v>474</v>
      </c>
      <c r="C20" s="11">
        <f>SUMIFS(jrrekdata_grb[Beginbalans],jrrekdata_grb[Nr.],"0112")+SUMIFS(jrrekdata_grb[Beginbalans],jrrekdata_grb[Nr.],"0113")</f>
        <v>0</v>
      </c>
      <c r="D20" s="11">
        <f>G20+F20-C20</f>
        <v>0</v>
      </c>
      <c r="E20" s="11"/>
      <c r="F20" s="11">
        <f>SUMIFS(jrrekdata_grb[Saldo W&amp;V],jrrekdata_grb[Nr.],"5733")</f>
        <v>0</v>
      </c>
      <c r="G20" s="11">
        <f>SUMIFS(jrrekdata_grb[Balans saldo],jrrekdata_grb[Nr.],"0112")+SUMIFS(jrrekdata_grb[Balans saldo],jrrekdata_grb[Nr.],"0113")</f>
        <v>0</v>
      </c>
      <c r="I20" s="11"/>
    </row>
    <row r="21" spans="1:12" x14ac:dyDescent="0.2">
      <c r="A21" t="s">
        <v>141</v>
      </c>
      <c r="B21" t="s">
        <v>231</v>
      </c>
      <c r="C21" s="11">
        <f>SUMIFS(jrrekdata_grb[Balans vorig jaar],jrrekdata_grb[Subverdichtingscode],$B21)-C20</f>
        <v>0</v>
      </c>
      <c r="D21" s="11">
        <f>G21+F21-C21</f>
        <v>0</v>
      </c>
      <c r="E21" s="11"/>
      <c r="F21" s="11">
        <f>SUMIFS(jrrekdata_grb[Saldo W&amp;V],jrrekdata_grb[Nr.],"5731")</f>
        <v>0</v>
      </c>
      <c r="G21" s="11">
        <f>SUMIFS(jrrekdata_grb[Balans saldo],jrrekdata_grb[Subverdichtingscode],$B21)-G20</f>
        <v>0</v>
      </c>
      <c r="I21" s="11"/>
    </row>
    <row r="22" spans="1:12" x14ac:dyDescent="0.2">
      <c r="A22" t="s">
        <v>475</v>
      </c>
      <c r="C22" s="11"/>
      <c r="D22" s="11"/>
      <c r="E22" s="11"/>
      <c r="F22" s="11"/>
      <c r="G22" s="11">
        <f>C22+D22+E22-F22</f>
        <v>0</v>
      </c>
    </row>
    <row r="23" spans="1:12" ht="13.5" thickBot="1" x14ac:dyDescent="0.25">
      <c r="A23" s="10"/>
      <c r="C23" s="31">
        <f>SUBTOTAL(9,C20:C22)</f>
        <v>0</v>
      </c>
      <c r="D23" s="31">
        <f t="shared" ref="D23:G23" si="0">SUBTOTAL(9,D20:D22)</f>
        <v>0</v>
      </c>
      <c r="E23" s="31">
        <f t="shared" si="0"/>
        <v>0</v>
      </c>
      <c r="F23" s="31">
        <f t="shared" si="0"/>
        <v>0</v>
      </c>
      <c r="G23" s="31">
        <f t="shared" si="0"/>
        <v>0</v>
      </c>
    </row>
    <row r="24" spans="1:12" x14ac:dyDescent="0.2">
      <c r="A24" s="10"/>
    </row>
    <row r="25" spans="1:12" x14ac:dyDescent="0.2">
      <c r="A25" t="s">
        <v>686</v>
      </c>
    </row>
    <row r="26" spans="1:12" x14ac:dyDescent="0.2">
      <c r="A26" t="s">
        <v>687</v>
      </c>
      <c r="H26" s="11"/>
      <c r="I26" s="11"/>
      <c r="J26" s="11"/>
      <c r="K26" s="11"/>
      <c r="L26" s="11"/>
    </row>
    <row r="27" spans="1:12" x14ac:dyDescent="0.2">
      <c r="H27" s="11"/>
      <c r="I27" s="11"/>
      <c r="J27" s="11"/>
      <c r="K27" s="11"/>
      <c r="L27" s="11"/>
    </row>
    <row r="28" spans="1:12" outlineLevel="1" x14ac:dyDescent="0.2">
      <c r="A28" s="1" t="s">
        <v>481</v>
      </c>
      <c r="H28" s="11"/>
      <c r="I28" s="11"/>
      <c r="J28" s="11"/>
      <c r="K28" s="11"/>
      <c r="L28" s="11"/>
    </row>
    <row r="29" spans="1:12" ht="25.5" outlineLevel="1" x14ac:dyDescent="0.2">
      <c r="C29" s="24" t="s">
        <v>479</v>
      </c>
      <c r="D29" s="32" t="s">
        <v>482</v>
      </c>
      <c r="E29" s="32" t="s">
        <v>483</v>
      </c>
      <c r="F29" s="32"/>
      <c r="G29" s="24" t="s">
        <v>467</v>
      </c>
      <c r="H29" s="11"/>
    </row>
    <row r="30" spans="1:12" ht="17.25" outlineLevel="1" x14ac:dyDescent="0.2">
      <c r="C30" s="38"/>
      <c r="D30" s="39" t="s">
        <v>468</v>
      </c>
      <c r="E30" s="39" t="s">
        <v>469</v>
      </c>
      <c r="F30" s="34"/>
      <c r="G30" s="38"/>
      <c r="H30" s="11"/>
      <c r="I30" s="11"/>
      <c r="J30" s="11"/>
    </row>
    <row r="31" spans="1:12" outlineLevel="1" x14ac:dyDescent="0.2">
      <c r="A31" t="s">
        <v>484</v>
      </c>
      <c r="H31" s="11"/>
      <c r="I31" s="11"/>
      <c r="J31" s="11"/>
      <c r="K31" s="11"/>
      <c r="L31" s="11"/>
    </row>
    <row r="32" spans="1:12" outlineLevel="1" x14ac:dyDescent="0.2">
      <c r="A32" t="s">
        <v>485</v>
      </c>
      <c r="H32" s="11"/>
      <c r="I32" s="11"/>
      <c r="J32" s="11"/>
      <c r="K32" s="11"/>
      <c r="L32" s="11"/>
    </row>
    <row r="33" spans="1:12" outlineLevel="1" x14ac:dyDescent="0.2">
      <c r="H33" s="11"/>
      <c r="I33" s="11"/>
      <c r="J33" s="11"/>
      <c r="K33" s="11"/>
      <c r="L33" s="11"/>
    </row>
    <row r="34" spans="1:12" ht="13.5" outlineLevel="1" thickBot="1" x14ac:dyDescent="0.25">
      <c r="C34" s="40">
        <f>SUM(C31:C32)</f>
        <v>0</v>
      </c>
      <c r="D34" s="40">
        <f>SUM(D31:D32)</f>
        <v>0</v>
      </c>
      <c r="E34" s="40">
        <f>SUM(E31:E32)</f>
        <v>0</v>
      </c>
      <c r="G34" s="40">
        <f>SUM(G31:G32)</f>
        <v>0</v>
      </c>
      <c r="H34" s="11"/>
    </row>
    <row r="35" spans="1:12" x14ac:dyDescent="0.2">
      <c r="H35" s="11"/>
    </row>
    <row r="36" spans="1:12" x14ac:dyDescent="0.2">
      <c r="H36" s="11"/>
    </row>
    <row r="37" spans="1:12" x14ac:dyDescent="0.2">
      <c r="C37" s="11"/>
      <c r="D37" s="11"/>
      <c r="E37" s="11"/>
      <c r="F37" s="11"/>
      <c r="G37" s="11"/>
      <c r="H37" s="11"/>
    </row>
    <row r="38" spans="1:12" x14ac:dyDescent="0.2">
      <c r="D38" s="67">
        <f>verslagjaar</f>
        <v>2022</v>
      </c>
      <c r="E38" s="67"/>
      <c r="G38" s="67">
        <f>verslagjaar-1</f>
        <v>2021</v>
      </c>
      <c r="H38" s="67"/>
    </row>
    <row r="39" spans="1:12" x14ac:dyDescent="0.2">
      <c r="D39" s="29" t="s">
        <v>470</v>
      </c>
      <c r="E39" s="29" t="s">
        <v>470</v>
      </c>
      <c r="G39" s="29" t="s">
        <v>470</v>
      </c>
      <c r="H39" s="29" t="s">
        <v>470</v>
      </c>
    </row>
    <row r="41" spans="1:12" x14ac:dyDescent="0.2">
      <c r="A41" s="1" t="s">
        <v>109</v>
      </c>
    </row>
    <row r="42" spans="1:12" x14ac:dyDescent="0.2">
      <c r="A42" t="s">
        <v>486</v>
      </c>
      <c r="B42" s="27" t="s">
        <v>242</v>
      </c>
      <c r="C42" s="11"/>
      <c r="D42" s="11">
        <f>SUMIFS(jrrekdata_grb[Balans saldo],jrrekdata_grb[Nr.],$B42)</f>
        <v>0</v>
      </c>
      <c r="E42" s="11"/>
      <c r="F42" s="11"/>
      <c r="G42" s="11">
        <f>Balans!F17</f>
        <v>0</v>
      </c>
      <c r="H42" s="11"/>
    </row>
    <row r="43" spans="1:12" outlineLevel="1" x14ac:dyDescent="0.2">
      <c r="A43" t="s">
        <v>447</v>
      </c>
      <c r="C43" s="11"/>
      <c r="D43" s="11"/>
      <c r="E43" s="11"/>
      <c r="F43" s="11"/>
      <c r="G43" s="11"/>
      <c r="H43" s="11"/>
    </row>
    <row r="44" spans="1:12" outlineLevel="1" x14ac:dyDescent="0.2">
      <c r="A44" t="s">
        <v>487</v>
      </c>
      <c r="C44" s="11"/>
      <c r="D44" s="11"/>
      <c r="E44" s="11"/>
      <c r="F44" s="11"/>
      <c r="G44" s="11"/>
      <c r="H44" s="11"/>
    </row>
    <row r="45" spans="1:12" x14ac:dyDescent="0.2">
      <c r="A45" t="s">
        <v>488</v>
      </c>
      <c r="B45" t="s">
        <v>241</v>
      </c>
      <c r="C45" s="11"/>
      <c r="D45" s="11">
        <f>SUMIFS(jrrekdata_grb[Balans saldo],jrrekdata_grb[Subverdichtingscode],$B45)-D42</f>
        <v>0</v>
      </c>
      <c r="E45" s="11"/>
      <c r="F45" s="11"/>
      <c r="G45" s="11">
        <f>Balans!F18</f>
        <v>0</v>
      </c>
      <c r="H45" s="11"/>
    </row>
    <row r="46" spans="1:12" ht="13.5" thickBot="1" x14ac:dyDescent="0.25">
      <c r="D46" s="12"/>
      <c r="E46" s="42">
        <f>SUM(D42:D45)</f>
        <v>0</v>
      </c>
      <c r="F46" s="11"/>
      <c r="G46" s="12"/>
      <c r="H46" s="42">
        <f>SUM(G42:G45)</f>
        <v>0</v>
      </c>
    </row>
    <row r="48" spans="1:12" x14ac:dyDescent="0.2">
      <c r="A48" s="1" t="s">
        <v>85</v>
      </c>
    </row>
    <row r="50" spans="1:8" x14ac:dyDescent="0.2">
      <c r="A50" t="s">
        <v>489</v>
      </c>
      <c r="B50" t="s">
        <v>251</v>
      </c>
      <c r="D50" s="11">
        <f>SUMIFS(jrrekdata_grb[Balans saldo],jrrekdata_grb[Subverdichtingscode],$B50)-D51</f>
        <v>0</v>
      </c>
      <c r="E50" s="11"/>
      <c r="F50" s="11"/>
      <c r="G50" s="11">
        <f>SUMIFS(jrrekdata_grb[Balans vorig jaar],jrrekdata_grb[Subverdichtingscode],$B50)-G51</f>
        <v>0</v>
      </c>
      <c r="H50" s="11"/>
    </row>
    <row r="51" spans="1:8" x14ac:dyDescent="0.2">
      <c r="A51" t="s">
        <v>490</v>
      </c>
      <c r="B51" s="27" t="s">
        <v>253</v>
      </c>
      <c r="D51" s="37">
        <f>SUMIFS(jrrekdata_grb[Balans saldo],jrrekdata_grb[Nr.],$B51)</f>
        <v>0</v>
      </c>
      <c r="E51" s="11"/>
      <c r="F51" s="11"/>
      <c r="G51" s="37">
        <f>SUMIFS(jrrekdata_grb[Balans vorig jaar],jrrekdata_grb[Nr.],$B51)</f>
        <v>0</v>
      </c>
      <c r="H51" s="11"/>
    </row>
    <row r="52" spans="1:8" ht="13.5" thickBot="1" x14ac:dyDescent="0.25">
      <c r="D52" s="11"/>
      <c r="E52" s="42">
        <f>SUM(D50:D51)</f>
        <v>0</v>
      </c>
      <c r="F52" s="11"/>
      <c r="G52" s="11"/>
      <c r="H52" s="42">
        <f>Balans!G22</f>
        <v>0</v>
      </c>
    </row>
    <row r="54" spans="1:8" x14ac:dyDescent="0.2">
      <c r="A54" t="s">
        <v>491</v>
      </c>
    </row>
    <row r="56" spans="1:8" x14ac:dyDescent="0.2">
      <c r="A56" s="1" t="s">
        <v>94</v>
      </c>
    </row>
    <row r="58" spans="1:8" ht="38.25" x14ac:dyDescent="0.2">
      <c r="A58" t="s">
        <v>492</v>
      </c>
      <c r="C58" s="24" t="s">
        <v>479</v>
      </c>
      <c r="D58" s="32"/>
      <c r="E58" s="32" t="s">
        <v>494</v>
      </c>
      <c r="F58" s="32" t="s">
        <v>495</v>
      </c>
      <c r="G58" s="24" t="s">
        <v>480</v>
      </c>
    </row>
    <row r="59" spans="1:8" ht="25.5" x14ac:dyDescent="0.2">
      <c r="C59" s="45"/>
      <c r="D59" s="32"/>
      <c r="E59" s="45" t="s">
        <v>496</v>
      </c>
      <c r="F59" s="45" t="s">
        <v>496</v>
      </c>
      <c r="G59" s="45"/>
    </row>
    <row r="60" spans="1:8" x14ac:dyDescent="0.2">
      <c r="A60" t="s">
        <v>45</v>
      </c>
      <c r="B60" t="s">
        <v>257</v>
      </c>
      <c r="C60" s="11">
        <f>-SUMIFS(jrrekdata_grb[Balans vorig jaar],jrrekdata_grb[Subverdichtingscode],$B60)-C61-C62-C63-C69</f>
        <v>0</v>
      </c>
      <c r="D60" s="11"/>
      <c r="E60" s="11">
        <f>_xlfn.IFNA(IF(VLOOKUP(A60,'Staat van baten en lasten'!$A$46:$G$49,3,FALSE)&gt;=0,VLOOKUP(A60,'Staat van baten en lasten'!$A$46:$G$49,3,FALSE),0),0)</f>
        <v>0</v>
      </c>
      <c r="F60" s="11">
        <f>_xlfn.IFNA(IF(VLOOKUP(A60,'Staat van baten en lasten'!$A$46:$G$49,3,FALSE)&lt;0,-VLOOKUP(A60,'Staat van baten en lasten'!$A$46:$G$49,3,FALSE),0),0)</f>
        <v>0</v>
      </c>
      <c r="G60" s="11">
        <f>C60+C69-F60-G69+E69</f>
        <v>0</v>
      </c>
    </row>
    <row r="61" spans="1:8" outlineLevel="1" x14ac:dyDescent="0.2">
      <c r="A61" t="s">
        <v>192</v>
      </c>
      <c r="B61" s="27" t="s">
        <v>465</v>
      </c>
      <c r="C61" s="11">
        <f>-SUMIFS(jrrekdata_grb[Balans vorig jaar],jrrekdata_grb[Nr.],$B61)</f>
        <v>0</v>
      </c>
      <c r="D61" s="11"/>
      <c r="E61" s="11">
        <f>_xlfn.IFNA(IF(VLOOKUP(A61,'Staat van baten en lasten'!$A$46:$G$49,3,FALSE)&gt;=0,VLOOKUP(A61,'Staat van baten en lasten'!$A$46:$G$49,3,FALSE),0),0)</f>
        <v>0</v>
      </c>
      <c r="F61" s="11">
        <f>_xlfn.IFNA(IF(VLOOKUP(A61,'Staat van baten en lasten'!$A$46:$G$49,3,FALSE)&lt;0,-VLOOKUP(A61,'Staat van baten en lasten'!$A$46:$G$49,3,FALSE),0),0)</f>
        <v>0</v>
      </c>
      <c r="G61" s="11">
        <f>C61+E61-F61</f>
        <v>0</v>
      </c>
    </row>
    <row r="62" spans="1:8" outlineLevel="1" x14ac:dyDescent="0.2">
      <c r="A62" t="s">
        <v>193</v>
      </c>
      <c r="C62" s="11">
        <f>-SUMIFS(jrrekdata_grb[Balans vorig jaar],jrrekdata_grb[Nr.],$B62)</f>
        <v>0</v>
      </c>
      <c r="D62" s="11"/>
      <c r="E62" s="11">
        <f>_xlfn.IFNA(IF(VLOOKUP(A62,'Staat van baten en lasten'!$A$46:$G$49,3,FALSE)&gt;=0,VLOOKUP(A62,'Staat van baten en lasten'!$A$46:$G$49,3,FALSE),0),0)</f>
        <v>0</v>
      </c>
      <c r="F62" s="11">
        <f>_xlfn.IFNA(IF(VLOOKUP(A62,'Staat van baten en lasten'!$A$46:$G$49,3,FALSE)&lt;0,-VLOOKUP(A62,'Staat van baten en lasten'!$A$46:$G$49,3,FALSE),0),0)</f>
        <v>0</v>
      </c>
      <c r="G62" s="11">
        <f>C62+E62-F62</f>
        <v>0</v>
      </c>
    </row>
    <row r="63" spans="1:8" outlineLevel="1" x14ac:dyDescent="0.2">
      <c r="A63" t="s">
        <v>551</v>
      </c>
      <c r="C63" s="11">
        <f>-SUMIFS(jrrekdata_grb[Balans vorig jaar],jrrekdata_grb[Nr.],$B63)</f>
        <v>0</v>
      </c>
      <c r="D63" s="11"/>
      <c r="E63" s="11">
        <f>_xlfn.IFNA(IF(VLOOKUP(A63,'Staat van baten en lasten'!$A$46:$G$49,3,FALSE)&gt;=0,VLOOKUP(A63,'Staat van baten en lasten'!$A$46:$G$49,3,FALSE),0),0)</f>
        <v>0</v>
      </c>
      <c r="F63" s="11">
        <f>_xlfn.IFNA(IF(VLOOKUP(A63,'Staat van baten en lasten'!$A$46:$G$49,3,FALSE)&lt;0,-VLOOKUP(A63,'Staat van baten en lasten'!$A$46:$G$49,3,FALSE),0),0)</f>
        <v>0</v>
      </c>
      <c r="G63" s="11">
        <f>C63+E63-F63</f>
        <v>0</v>
      </c>
    </row>
    <row r="64" spans="1:8" ht="13.5" thickBot="1" x14ac:dyDescent="0.25">
      <c r="A64" t="s">
        <v>497</v>
      </c>
      <c r="C64" s="31">
        <f>SUM(C60:C63)</f>
        <v>0</v>
      </c>
      <c r="D64" s="11"/>
      <c r="E64" s="31">
        <f>SUM(E60:E63)</f>
        <v>0</v>
      </c>
      <c r="F64" s="31">
        <f>SUM(F60:F63)</f>
        <v>0</v>
      </c>
      <c r="G64" s="31">
        <f>SUM(G60:G63)</f>
        <v>0</v>
      </c>
    </row>
    <row r="67" spans="1:9" ht="38.25" x14ac:dyDescent="0.2">
      <c r="A67" t="s">
        <v>194</v>
      </c>
      <c r="C67" s="24" t="s">
        <v>493</v>
      </c>
      <c r="D67" s="32" t="s">
        <v>498</v>
      </c>
      <c r="E67" s="32" t="s">
        <v>494</v>
      </c>
      <c r="F67" s="32" t="s">
        <v>495</v>
      </c>
      <c r="G67" s="24" t="s">
        <v>467</v>
      </c>
      <c r="I67" s="43" t="str">
        <f>"Balans 01-01-"&amp;RIGHT(verslagjaar-1,2)</f>
        <v>Balans 01-01-21</v>
      </c>
    </row>
    <row r="68" spans="1:9" ht="25.5" x14ac:dyDescent="0.2">
      <c r="C68" s="38"/>
      <c r="D68" s="45" t="s">
        <v>499</v>
      </c>
      <c r="E68" s="45" t="s">
        <v>496</v>
      </c>
      <c r="F68" s="45" t="s">
        <v>496</v>
      </c>
      <c r="G68" s="38"/>
    </row>
    <row r="69" spans="1:9" x14ac:dyDescent="0.2">
      <c r="A69" t="s">
        <v>500</v>
      </c>
      <c r="C69" s="11">
        <f>C13-G104-G112</f>
        <v>0</v>
      </c>
      <c r="D69" s="11"/>
      <c r="E69" s="11">
        <f>IF(G69-C69&gt;0,G69-C69,0)</f>
        <v>0</v>
      </c>
      <c r="F69" s="11">
        <f>IF(G69-C69&lt;=0,-(G69-C69),0)</f>
        <v>0</v>
      </c>
      <c r="G69" s="11">
        <f>G10-D104-D112</f>
        <v>0</v>
      </c>
      <c r="I69" s="11">
        <f>SUMIFS(kolbaltmin1[Beginbalans],kolbaltmin1[Subverdichtingscode],"1.1")+SUMIFS(kolbaltmin1[Beginbalans],kolbaltmin1[Subverdichtingscode],"31.1")</f>
        <v>0</v>
      </c>
    </row>
    <row r="70" spans="1:9" outlineLevel="1" x14ac:dyDescent="0.2">
      <c r="A70" t="s">
        <v>196</v>
      </c>
      <c r="C70" s="11"/>
      <c r="D70" s="11"/>
      <c r="E70" s="11">
        <f>IF(G70-C70&gt;0,G70-C70,0)</f>
        <v>0</v>
      </c>
      <c r="F70" s="11">
        <f>IF(G70-C70&lt;=0,-(G70-C70),0)</f>
        <v>0</v>
      </c>
      <c r="G70" s="11"/>
    </row>
    <row r="71" spans="1:9" ht="13.5" thickBot="1" x14ac:dyDescent="0.25">
      <c r="A71" t="s">
        <v>497</v>
      </c>
      <c r="C71" s="31">
        <f>SUM(C69:C70)</f>
        <v>0</v>
      </c>
      <c r="D71" s="31">
        <f t="shared" ref="D71:G71" si="1">SUM(D69:D70)</f>
        <v>0</v>
      </c>
      <c r="E71" s="31">
        <f t="shared" si="1"/>
        <v>0</v>
      </c>
      <c r="F71" s="31">
        <f t="shared" si="1"/>
        <v>0</v>
      </c>
      <c r="G71" s="31">
        <f t="shared" si="1"/>
        <v>0</v>
      </c>
    </row>
    <row r="73" spans="1:9" x14ac:dyDescent="0.2">
      <c r="A73" s="1" t="s">
        <v>501</v>
      </c>
    </row>
    <row r="75" spans="1:9" x14ac:dyDescent="0.2">
      <c r="A75" s="10" t="s">
        <v>502</v>
      </c>
    </row>
    <row r="76" spans="1:9" x14ac:dyDescent="0.2">
      <c r="A76" t="s">
        <v>503</v>
      </c>
    </row>
    <row r="77" spans="1:9" x14ac:dyDescent="0.2">
      <c r="A77" t="s">
        <v>504</v>
      </c>
    </row>
    <row r="78" spans="1:9" x14ac:dyDescent="0.2">
      <c r="A78" t="s">
        <v>505</v>
      </c>
    </row>
    <row r="79" spans="1:9" x14ac:dyDescent="0.2">
      <c r="A79" t="s">
        <v>506</v>
      </c>
    </row>
    <row r="81" spans="1:8" outlineLevel="1" x14ac:dyDescent="0.2">
      <c r="A81" s="1" t="s">
        <v>95</v>
      </c>
    </row>
    <row r="82" spans="1:8" outlineLevel="1" x14ac:dyDescent="0.2">
      <c r="A82" s="1"/>
    </row>
    <row r="83" spans="1:8" outlineLevel="1" x14ac:dyDescent="0.2">
      <c r="A83" s="1"/>
      <c r="B83" s="1"/>
      <c r="C83" s="44"/>
      <c r="D83" s="41">
        <f>verslagjaar</f>
        <v>2022</v>
      </c>
      <c r="F83" s="44"/>
      <c r="G83" s="41">
        <f>verslagjaar-1</f>
        <v>2021</v>
      </c>
    </row>
    <row r="84" spans="1:8" outlineLevel="1" x14ac:dyDescent="0.2">
      <c r="A84" s="1"/>
      <c r="B84" s="1"/>
      <c r="C84" s="29" t="s">
        <v>470</v>
      </c>
      <c r="D84" s="29" t="s">
        <v>470</v>
      </c>
      <c r="F84" s="29" t="s">
        <v>470</v>
      </c>
      <c r="G84" s="29" t="s">
        <v>470</v>
      </c>
    </row>
    <row r="85" spans="1:8" outlineLevel="1" x14ac:dyDescent="0.2">
      <c r="A85" s="10" t="s">
        <v>47</v>
      </c>
    </row>
    <row r="86" spans="1:8" outlineLevel="1" x14ac:dyDescent="0.2">
      <c r="A86" t="s">
        <v>507</v>
      </c>
      <c r="C86" s="11"/>
      <c r="D86" s="11"/>
      <c r="E86" s="11"/>
      <c r="F86" s="11"/>
      <c r="G86" s="11"/>
    </row>
    <row r="87" spans="1:8" outlineLevel="1" x14ac:dyDescent="0.2">
      <c r="A87" t="s">
        <v>508</v>
      </c>
      <c r="C87" s="11"/>
      <c r="D87" s="11"/>
      <c r="E87" s="11"/>
      <c r="F87" s="11"/>
      <c r="G87" s="11"/>
    </row>
    <row r="88" spans="1:8" outlineLevel="1" x14ac:dyDescent="0.2">
      <c r="C88" s="11"/>
      <c r="D88" s="12">
        <f>SUM(D86:D87)</f>
        <v>0</v>
      </c>
      <c r="E88" s="11"/>
      <c r="F88" s="11"/>
      <c r="G88" s="12">
        <f>SUM(G86:G87)</f>
        <v>0</v>
      </c>
    </row>
    <row r="89" spans="1:8" outlineLevel="1" x14ac:dyDescent="0.2">
      <c r="A89" t="s">
        <v>509</v>
      </c>
      <c r="C89" s="11"/>
      <c r="D89" s="11"/>
      <c r="E89" s="11"/>
      <c r="F89" s="11"/>
      <c r="G89" s="11"/>
    </row>
    <row r="90" spans="1:8" outlineLevel="1" x14ac:dyDescent="0.2">
      <c r="A90" t="s">
        <v>510</v>
      </c>
      <c r="C90" s="11"/>
      <c r="D90" s="11"/>
      <c r="E90" s="11"/>
      <c r="F90" s="11"/>
      <c r="G90" s="11"/>
    </row>
    <row r="91" spans="1:8" outlineLevel="1" x14ac:dyDescent="0.2">
      <c r="A91" t="s">
        <v>510</v>
      </c>
      <c r="C91" s="37"/>
      <c r="D91" s="11"/>
      <c r="E91" s="11"/>
      <c r="F91" s="37"/>
      <c r="G91" s="11"/>
    </row>
    <row r="92" spans="1:8" outlineLevel="1" x14ac:dyDescent="0.2">
      <c r="C92" s="11"/>
      <c r="D92" s="11">
        <f>SUM(C90:C91)</f>
        <v>0</v>
      </c>
      <c r="E92" s="11"/>
      <c r="F92" s="11"/>
      <c r="G92" s="11">
        <f>SUM(F90:F91)</f>
        <v>0</v>
      </c>
    </row>
    <row r="93" spans="1:8" ht="13.5" outlineLevel="1" thickBot="1" x14ac:dyDescent="0.25">
      <c r="A93" t="s">
        <v>511</v>
      </c>
      <c r="C93" s="11"/>
      <c r="D93" s="31">
        <f>D88+D92</f>
        <v>0</v>
      </c>
      <c r="E93" s="11"/>
      <c r="F93" s="11"/>
      <c r="G93" s="31">
        <f>G88+G92</f>
        <v>0</v>
      </c>
    </row>
    <row r="94" spans="1:8" outlineLevel="1" x14ac:dyDescent="0.2"/>
    <row r="95" spans="1:8" x14ac:dyDescent="0.2">
      <c r="A95" s="1" t="s">
        <v>261</v>
      </c>
      <c r="D95" s="11"/>
      <c r="E95" s="11"/>
      <c r="F95" s="11"/>
      <c r="G95" s="11"/>
      <c r="H95" s="11"/>
    </row>
    <row r="96" spans="1:8" x14ac:dyDescent="0.2">
      <c r="A96" s="1"/>
      <c r="D96" s="11"/>
      <c r="E96" s="11"/>
      <c r="F96" s="11"/>
      <c r="G96" s="11"/>
      <c r="H96" s="11"/>
    </row>
    <row r="97" spans="1:7" x14ac:dyDescent="0.2">
      <c r="C97" s="46"/>
      <c r="D97" s="46">
        <f>verslagjaar</f>
        <v>2022</v>
      </c>
      <c r="E97" s="11"/>
      <c r="F97" s="46"/>
      <c r="G97" s="46">
        <f>verslagjaar-1</f>
        <v>2021</v>
      </c>
    </row>
    <row r="98" spans="1:7" x14ac:dyDescent="0.2">
      <c r="C98" s="29" t="s">
        <v>470</v>
      </c>
      <c r="D98" s="30" t="s">
        <v>470</v>
      </c>
      <c r="E98" s="11"/>
      <c r="F98" s="29" t="s">
        <v>470</v>
      </c>
      <c r="G98" s="30" t="s">
        <v>470</v>
      </c>
    </row>
    <row r="99" spans="1:7" x14ac:dyDescent="0.2">
      <c r="D99" s="11"/>
      <c r="E99" s="11"/>
      <c r="F99" s="11"/>
      <c r="G99" s="11"/>
    </row>
    <row r="100" spans="1:7" x14ac:dyDescent="0.2">
      <c r="A100" s="10" t="s">
        <v>688</v>
      </c>
      <c r="D100" s="11"/>
      <c r="E100" s="11"/>
      <c r="F100" s="11"/>
      <c r="G100" s="11"/>
    </row>
    <row r="101" spans="1:7" x14ac:dyDescent="0.2">
      <c r="A101" t="s">
        <v>507</v>
      </c>
      <c r="B101" t="s">
        <v>258</v>
      </c>
      <c r="C101" s="11">
        <f>-SUMIFS(jrrekdata_grb[Beginbalans],jrrekdata_grb[Nr.],$B101)</f>
        <v>0</v>
      </c>
      <c r="D101" s="11"/>
      <c r="E101" s="11"/>
      <c r="F101" s="11">
        <f>-SUMIFS(kolbaltmin1[Beginbalans],kolbaltmin1[Nr.],$B101)</f>
        <v>0</v>
      </c>
      <c r="G101" s="11"/>
    </row>
    <row r="102" spans="1:7" x14ac:dyDescent="0.2">
      <c r="A102" t="s">
        <v>512</v>
      </c>
      <c r="C102" s="11"/>
      <c r="D102" s="11"/>
      <c r="E102" s="11"/>
      <c r="F102" s="11"/>
      <c r="G102" s="11"/>
    </row>
    <row r="103" spans="1:7" x14ac:dyDescent="0.2">
      <c r="A103" t="s">
        <v>513</v>
      </c>
      <c r="C103" s="37">
        <f>SUMIFS(jrrekdata_grb[Balans saldo],jrrekdata_grb[Nr.],$B$101)-SUMIFS(jrrekdata_grb[Beginbalans],jrrekdata_grb[Nr.],$B$101)</f>
        <v>0</v>
      </c>
      <c r="D103" s="11"/>
      <c r="E103" s="11"/>
      <c r="F103" s="37">
        <f>SUMIFS(kolbaltmin1[Balans saldo],kolbaltmin1[Nr.],$B$101)-SUMIFS(kolbaltmin1[Beginbalans],kolbaltmin1[Nr.],$B$101)</f>
        <v>0</v>
      </c>
      <c r="G103" s="11"/>
    </row>
    <row r="104" spans="1:7" x14ac:dyDescent="0.2">
      <c r="A104" t="s">
        <v>511</v>
      </c>
      <c r="C104" s="11"/>
      <c r="D104" s="11">
        <f>C101+C102-C103</f>
        <v>0</v>
      </c>
      <c r="E104" s="11"/>
      <c r="F104" s="11"/>
      <c r="G104" s="11">
        <f>F101+F102-F103</f>
        <v>0</v>
      </c>
    </row>
    <row r="105" spans="1:7" x14ac:dyDescent="0.2">
      <c r="A105" t="s">
        <v>514</v>
      </c>
      <c r="C105" s="11"/>
      <c r="D105" s="59"/>
      <c r="E105" s="11"/>
      <c r="F105" s="11"/>
      <c r="G105" s="59">
        <v>0</v>
      </c>
    </row>
    <row r="106" spans="1:7" ht="13.5" thickBot="1" x14ac:dyDescent="0.25">
      <c r="C106" s="11"/>
      <c r="D106" s="31">
        <f>D104-D105</f>
        <v>0</v>
      </c>
      <c r="E106" s="11"/>
      <c r="F106" s="11"/>
      <c r="G106" s="31">
        <f>G104-G105</f>
        <v>0</v>
      </c>
    </row>
    <row r="107" spans="1:7" x14ac:dyDescent="0.2">
      <c r="C107" s="11"/>
      <c r="D107" s="11"/>
      <c r="E107" s="11"/>
      <c r="F107" s="11"/>
      <c r="G107" s="11"/>
    </row>
    <row r="108" spans="1:7" x14ac:dyDescent="0.2">
      <c r="A108" s="10" t="s">
        <v>689</v>
      </c>
      <c r="D108" s="11"/>
      <c r="E108" s="11"/>
      <c r="F108" s="11"/>
      <c r="G108" s="11"/>
    </row>
    <row r="109" spans="1:7" x14ac:dyDescent="0.2">
      <c r="A109" t="s">
        <v>507</v>
      </c>
      <c r="B109">
        <v>2230</v>
      </c>
      <c r="C109" s="11">
        <f>-SUMIFS(jrrekdata_grb[Beginbalans],jrrekdata_grb[Nr.],$B109)</f>
        <v>0</v>
      </c>
      <c r="D109" s="11"/>
      <c r="E109" s="11"/>
      <c r="F109" s="11">
        <f>-SUMIFS(kolbaltmin1[Beginbalans],kolbaltmin1[Nr.],$B109)</f>
        <v>0</v>
      </c>
      <c r="G109" s="11"/>
    </row>
    <row r="110" spans="1:7" x14ac:dyDescent="0.2">
      <c r="A110" t="s">
        <v>512</v>
      </c>
      <c r="C110" s="11"/>
      <c r="D110" s="11"/>
      <c r="E110" s="11"/>
      <c r="F110" s="11"/>
      <c r="G110" s="11"/>
    </row>
    <row r="111" spans="1:7" x14ac:dyDescent="0.2">
      <c r="A111" t="s">
        <v>513</v>
      </c>
      <c r="C111" s="37">
        <f>SUMIFS(jrrekdata_grb[Balans saldo],jrrekdata_grb[Nr.],$B$109)-SUMIFS(jrrekdata_grb[Beginbalans],jrrekdata_grb[Nr.],$B$109)</f>
        <v>0</v>
      </c>
      <c r="D111" s="11"/>
      <c r="E111" s="11"/>
      <c r="F111" s="37">
        <f>SUMIFS(kolbaltmin1[Balans saldo],kolbaltmin1[Nr.],$B$109)-SUMIFS(kolbaltmin1[Beginbalans],kolbaltmin1[Nr.],$B$109)</f>
        <v>0</v>
      </c>
      <c r="G111" s="11"/>
    </row>
    <row r="112" spans="1:7" x14ac:dyDescent="0.2">
      <c r="A112" t="s">
        <v>511</v>
      </c>
      <c r="C112" s="11"/>
      <c r="D112" s="11">
        <f>C109+C110-C111</f>
        <v>0</v>
      </c>
      <c r="E112" s="11"/>
      <c r="F112" s="11"/>
      <c r="G112" s="11">
        <f>F109+F110-F111</f>
        <v>0</v>
      </c>
    </row>
    <row r="113" spans="1:7" x14ac:dyDescent="0.2">
      <c r="A113" t="s">
        <v>514</v>
      </c>
      <c r="C113" s="11"/>
      <c r="D113" s="59">
        <v>0</v>
      </c>
      <c r="E113" s="11"/>
      <c r="F113" s="11"/>
      <c r="G113" s="59">
        <v>0</v>
      </c>
    </row>
    <row r="114" spans="1:7" ht="13.5" thickBot="1" x14ac:dyDescent="0.25">
      <c r="C114" s="11"/>
      <c r="D114" s="31">
        <f>D112-D113</f>
        <v>0</v>
      </c>
      <c r="E114" s="11"/>
      <c r="F114" s="11"/>
      <c r="G114" s="31">
        <f>G112-G113</f>
        <v>0</v>
      </c>
    </row>
    <row r="115" spans="1:7" x14ac:dyDescent="0.2">
      <c r="D115" s="11"/>
      <c r="E115" s="11"/>
      <c r="F115" s="11"/>
      <c r="G115" s="11"/>
    </row>
    <row r="117" spans="1:7" x14ac:dyDescent="0.2">
      <c r="A117" s="1" t="s">
        <v>690</v>
      </c>
    </row>
    <row r="118" spans="1:7" ht="15.75" x14ac:dyDescent="0.25">
      <c r="A118" s="2"/>
    </row>
    <row r="119" spans="1:7" ht="15.75" x14ac:dyDescent="0.25">
      <c r="A119" s="2"/>
    </row>
    <row r="120" spans="1:7" ht="15.75" x14ac:dyDescent="0.25">
      <c r="A120" s="2"/>
    </row>
    <row r="121" spans="1:7" ht="15.75" x14ac:dyDescent="0.25">
      <c r="A121" s="2"/>
    </row>
    <row r="122" spans="1:7" ht="15.75" x14ac:dyDescent="0.25">
      <c r="A122" s="2"/>
    </row>
    <row r="123" spans="1:7" ht="15.75" x14ac:dyDescent="0.25">
      <c r="A123" s="2"/>
    </row>
    <row r="124" spans="1:7" ht="15.75" x14ac:dyDescent="0.25">
      <c r="A124" s="2"/>
    </row>
    <row r="126" spans="1:7" x14ac:dyDescent="0.2">
      <c r="A126" s="1" t="s">
        <v>96</v>
      </c>
    </row>
    <row r="128" spans="1:7" x14ac:dyDescent="0.2">
      <c r="C128" s="29"/>
      <c r="D128" s="28">
        <v>2022</v>
      </c>
      <c r="F128" s="29"/>
      <c r="G128" s="28">
        <v>2021</v>
      </c>
    </row>
    <row r="129" spans="1:7" x14ac:dyDescent="0.2">
      <c r="C129" s="35" t="s">
        <v>470</v>
      </c>
      <c r="D129" s="35" t="s">
        <v>470</v>
      </c>
      <c r="F129" s="35" t="s">
        <v>470</v>
      </c>
      <c r="G129" s="35" t="s">
        <v>470</v>
      </c>
    </row>
    <row r="131" spans="1:7" x14ac:dyDescent="0.2">
      <c r="A131" t="s">
        <v>540</v>
      </c>
      <c r="C131" s="11">
        <f>D113+D105</f>
        <v>0</v>
      </c>
      <c r="D131" s="11"/>
      <c r="E131" s="11"/>
      <c r="F131" s="11">
        <f>G113+G105</f>
        <v>0</v>
      </c>
      <c r="G131" s="11"/>
    </row>
    <row r="132" spans="1:7" x14ac:dyDescent="0.2">
      <c r="A132" t="s">
        <v>530</v>
      </c>
      <c r="B132" t="s">
        <v>265</v>
      </c>
      <c r="C132" s="11">
        <f>-SUMIFS(jrrekdata_grb[Balans saldo],jrrekdata_grb[Nr.],$B132)</f>
        <v>0</v>
      </c>
      <c r="D132" s="11"/>
      <c r="E132" s="11"/>
      <c r="F132" s="11">
        <f>-SUMIFS(jrrekdata_grb[Balans vorig jaar],jrrekdata_grb[Nr.],$B132)</f>
        <v>0</v>
      </c>
      <c r="G132" s="11"/>
    </row>
    <row r="133" spans="1:7" x14ac:dyDescent="0.2">
      <c r="A133" t="s">
        <v>531</v>
      </c>
      <c r="B133" t="s">
        <v>270</v>
      </c>
      <c r="C133" s="11">
        <f>-SUMIFS(jrrekdata_grb[Balans saldo],jrrekdata_grb[Nr.],$B133)</f>
        <v>0</v>
      </c>
      <c r="D133" s="11"/>
      <c r="E133" s="11"/>
      <c r="F133" s="11">
        <f>-SUMIFS(jrrekdata_grb[Balans vorig jaar],jrrekdata_grb[Nr.],$B133)</f>
        <v>0</v>
      </c>
      <c r="G133" s="11"/>
    </row>
    <row r="134" spans="1:7" x14ac:dyDescent="0.2">
      <c r="A134" t="s">
        <v>532</v>
      </c>
      <c r="B134" t="s">
        <v>272</v>
      </c>
      <c r="C134" s="11">
        <f>-SUMIFS(jrrekdata_grb[Balans saldo],jrrekdata_grb[Nr.],$B134)</f>
        <v>0</v>
      </c>
      <c r="D134" s="11"/>
      <c r="E134" s="11"/>
      <c r="F134" s="11">
        <f>-SUMIFS(jrrekdata_grb[Balans vorig jaar],jrrekdata_grb[Nr.],$B134)</f>
        <v>0</v>
      </c>
      <c r="G134" s="11"/>
    </row>
    <row r="135" spans="1:7" outlineLevel="1" x14ac:dyDescent="0.2">
      <c r="A135" t="s">
        <v>533</v>
      </c>
      <c r="C135" s="11">
        <f>-SUMIFS(jrrekdata_grb[Balans saldo],jrrekdata_grb[Nr.],$B135)</f>
        <v>0</v>
      </c>
      <c r="D135" s="11"/>
      <c r="E135" s="11"/>
      <c r="F135" s="11">
        <f>-SUMIFS(jrrekdata_grb[Balans vorig jaar],jrrekdata_grb[Nr.],$B135)</f>
        <v>0</v>
      </c>
      <c r="G135" s="11"/>
    </row>
    <row r="136" spans="1:7" outlineLevel="1" x14ac:dyDescent="0.2">
      <c r="A136" t="s">
        <v>534</v>
      </c>
      <c r="C136" s="11">
        <f>-SUMIFS(jrrekdata_grb[Balans saldo],jrrekdata_grb[Nr.],$B136)</f>
        <v>0</v>
      </c>
      <c r="D136" s="11"/>
      <c r="E136" s="11"/>
      <c r="F136" s="11">
        <f>-SUMIFS(jrrekdata_grb[Balans vorig jaar],jrrekdata_grb[Nr.],$B136)</f>
        <v>0</v>
      </c>
      <c r="G136" s="11"/>
    </row>
    <row r="137" spans="1:7" outlineLevel="1" x14ac:dyDescent="0.2">
      <c r="A137" t="s">
        <v>535</v>
      </c>
      <c r="C137" s="11">
        <f>-SUMIFS(jrrekdata_grb[Balans saldo],jrrekdata_grb[Nr.],$B137)</f>
        <v>0</v>
      </c>
      <c r="D137" s="11"/>
      <c r="E137" s="11"/>
      <c r="F137" s="11">
        <f>-SUMIFS(jrrekdata_grb[Balans vorig jaar],jrrekdata_grb[Nr.],$B137)</f>
        <v>0</v>
      </c>
      <c r="G137" s="11"/>
    </row>
    <row r="138" spans="1:7" outlineLevel="1" x14ac:dyDescent="0.2">
      <c r="A138" t="s">
        <v>536</v>
      </c>
      <c r="C138" s="11">
        <f>-SUMIFS(jrrekdata_grb[Balans saldo],jrrekdata_grb[Nr.],$B138)</f>
        <v>0</v>
      </c>
      <c r="D138" s="11"/>
      <c r="E138" s="11"/>
      <c r="F138" s="11">
        <f>-SUMIFS(jrrekdata_grb[Balans vorig jaar],jrrekdata_grb[Nr.],$B138)</f>
        <v>0</v>
      </c>
      <c r="G138" s="11"/>
    </row>
    <row r="139" spans="1:7" x14ac:dyDescent="0.2">
      <c r="A139" t="s">
        <v>537</v>
      </c>
      <c r="B139" t="s">
        <v>277</v>
      </c>
      <c r="C139" s="11">
        <f>-SUMIFS(jrrekdata_grb[Balans saldo],jrrekdata_grb[Nr.],$B139)</f>
        <v>0</v>
      </c>
      <c r="D139" s="11"/>
      <c r="E139" s="11"/>
      <c r="F139" s="11">
        <f>-SUMIFS(jrrekdata_grb[Balans vorig jaar],jrrekdata_grb[Nr.],$B139)</f>
        <v>0</v>
      </c>
      <c r="G139" s="11"/>
    </row>
    <row r="140" spans="1:7" x14ac:dyDescent="0.2">
      <c r="A140" t="s">
        <v>538</v>
      </c>
      <c r="B140" t="s">
        <v>269</v>
      </c>
      <c r="C140" s="11">
        <f>-SUMIFS(jrrekdata_grb[Balans saldo],jrrekdata_grb[Subverdichtingscode],$B140)-SUM(C132:C139,C141)</f>
        <v>0</v>
      </c>
      <c r="D140" s="11"/>
      <c r="E140" s="11"/>
      <c r="F140" s="11">
        <f>-SUMIFS(jrrekdata_grb[Balans vorig jaar],jrrekdata_grb[Subverdichtingscode],$B140)-SUM(F132:F139,F141)</f>
        <v>0</v>
      </c>
      <c r="G140" s="11"/>
    </row>
    <row r="141" spans="1:7" x14ac:dyDescent="0.2">
      <c r="A141" t="s">
        <v>49</v>
      </c>
      <c r="B141" t="s">
        <v>283</v>
      </c>
      <c r="C141" s="37">
        <f>-SUMIFS(jrrekdata_grb[Balans saldo],jrrekdata_grb[Nr.],$B141)</f>
        <v>0</v>
      </c>
      <c r="D141" s="11"/>
      <c r="E141" s="11"/>
      <c r="F141" s="37">
        <f>-SUMIFS(jrrekdata_grb[Balans vorig jaar],jrrekdata_grb[Nr.],$B141)</f>
        <v>0</v>
      </c>
      <c r="G141" s="11"/>
    </row>
    <row r="142" spans="1:7" x14ac:dyDescent="0.2">
      <c r="C142" s="11"/>
      <c r="D142" s="11"/>
      <c r="E142" s="11"/>
      <c r="F142" s="11"/>
      <c r="G142" s="11"/>
    </row>
    <row r="143" spans="1:7" ht="13.5" thickBot="1" x14ac:dyDescent="0.25">
      <c r="A143" t="s">
        <v>539</v>
      </c>
      <c r="C143" s="11"/>
      <c r="D143" s="31">
        <f>SUM(C131:C141)</f>
        <v>0</v>
      </c>
      <c r="E143" s="11"/>
      <c r="F143" s="11"/>
      <c r="G143" s="31">
        <f>SUM(F131:F141)</f>
        <v>0</v>
      </c>
    </row>
    <row r="145" spans="1:1" x14ac:dyDescent="0.2">
      <c r="A145" s="1" t="s">
        <v>541</v>
      </c>
    </row>
  </sheetData>
  <sortState xmlns:xlrd2="http://schemas.microsoft.com/office/spreadsheetml/2017/richdata2" ref="A40:A41">
    <sortCondition descending="1" ref="A42"/>
  </sortState>
  <mergeCells count="2">
    <mergeCell ref="G38:H38"/>
    <mergeCell ref="D38:E38"/>
  </mergeCells>
  <conditionalFormatting sqref="D46:H46 C42:H45 C10:G23">
    <cfRule type="cellIs" dxfId="34" priority="5" operator="equal">
      <formula>0</formula>
    </cfRule>
  </conditionalFormatting>
  <conditionalFormatting sqref="C31:G34">
    <cfRule type="cellIs" dxfId="33" priority="4" operator="equal">
      <formula>0</formula>
    </cfRule>
  </conditionalFormatting>
  <conditionalFormatting sqref="C60:C64 E60:G64">
    <cfRule type="cellIs" dxfId="32" priority="2" operator="equal">
      <formula>0</formula>
    </cfRule>
  </conditionalFormatting>
  <conditionalFormatting sqref="C69:G71">
    <cfRule type="cellIs" dxfId="31" priority="1" operator="equal">
      <formula>0</formula>
    </cfRule>
  </conditionalFormatting>
  <pageMargins left="0.51181102362204722" right="0.51181102362204722" top="0.74803149606299213" bottom="0.74803149606299213" header="0.31496062992125984" footer="0.31496062992125984"/>
  <pageSetup paperSize="9" orientation="portrait" r:id="rId1"/>
  <headerFooter>
    <oddHeader>&amp;R&amp;G</oddHeader>
    <oddFooter>&amp;L&amp;9Concept jaarrekening 2021&amp;C&amp;9Versie: 23-2-2022&amp;R&amp;9- &amp;P -</oddFooter>
  </headerFooter>
  <rowBreaks count="1" manualBreakCount="1">
    <brk id="37"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8">
    <tabColor rgb="FF92D050"/>
  </sheetPr>
  <dimension ref="A1:I184"/>
  <sheetViews>
    <sheetView topLeftCell="A26" workbookViewId="0">
      <selection activeCell="I44" sqref="I44"/>
    </sheetView>
  </sheetViews>
  <sheetFormatPr defaultRowHeight="12.75" outlineLevelRow="1" outlineLevelCol="1" x14ac:dyDescent="0.2"/>
  <cols>
    <col min="1" max="1" width="43.5703125" bestFit="1" customWidth="1"/>
    <col min="2" max="2" width="15.7109375" hidden="1" customWidth="1" outlineLevel="1"/>
    <col min="3" max="3" width="9.140625" collapsed="1"/>
    <col min="4" max="4" width="2.28515625" customWidth="1"/>
    <col min="6" max="6" width="2.28515625" customWidth="1"/>
    <col min="7" max="7" width="10.140625" bestFit="1" customWidth="1"/>
    <col min="8" max="8" width="2.28515625" customWidth="1"/>
    <col min="9" max="9" width="10.140625" bestFit="1" customWidth="1"/>
  </cols>
  <sheetData>
    <row r="1" spans="1:9" ht="36" customHeight="1" x14ac:dyDescent="0.25">
      <c r="A1" s="68" t="str">
        <f>"Toelichting op de staat van baten en lasten over "&amp;verslagjaar&amp;", begroting "&amp;verslagjaar&amp;" en exploitatie "&amp;verslagjaar-1</f>
        <v>Toelichting op de staat van baten en lasten over 2022, begroting 2022 en exploitatie 2021</v>
      </c>
      <c r="B1" s="66"/>
      <c r="C1" s="66"/>
      <c r="D1" s="66"/>
      <c r="E1" s="66"/>
      <c r="F1" s="66"/>
      <c r="G1" s="66"/>
      <c r="H1" s="66"/>
      <c r="I1" s="66"/>
    </row>
    <row r="3" spans="1:9" x14ac:dyDescent="0.2">
      <c r="C3" s="16" t="s">
        <v>98</v>
      </c>
      <c r="D3" s="16"/>
      <c r="E3" s="16" t="s">
        <v>97</v>
      </c>
      <c r="G3" s="16" t="s">
        <v>98</v>
      </c>
    </row>
    <row r="4" spans="1:9" x14ac:dyDescent="0.2">
      <c r="B4" s="1" t="s">
        <v>93</v>
      </c>
      <c r="C4" s="1">
        <f>verslagjaar</f>
        <v>2022</v>
      </c>
      <c r="D4" s="1"/>
      <c r="E4" s="1">
        <f>verslagjaar</f>
        <v>2022</v>
      </c>
      <c r="F4" s="1"/>
      <c r="G4" s="1">
        <f>verslagjaar-1</f>
        <v>2021</v>
      </c>
    </row>
    <row r="5" spans="1:9" ht="15.75" x14ac:dyDescent="0.25">
      <c r="B5" s="2"/>
      <c r="C5" s="28" t="s">
        <v>470</v>
      </c>
      <c r="E5" s="28" t="s">
        <v>470</v>
      </c>
      <c r="G5" s="28" t="s">
        <v>470</v>
      </c>
    </row>
    <row r="6" spans="1:9" ht="15.75" x14ac:dyDescent="0.25">
      <c r="A6" s="2" t="s">
        <v>99</v>
      </c>
    </row>
    <row r="8" spans="1:9" x14ac:dyDescent="0.2">
      <c r="A8" s="10" t="s">
        <v>552</v>
      </c>
    </row>
    <row r="9" spans="1:9" x14ac:dyDescent="0.2">
      <c r="A9" t="s">
        <v>553</v>
      </c>
      <c r="B9" t="s">
        <v>442</v>
      </c>
      <c r="C9" s="11">
        <f>-SUMIFS(jrrekdata_grb[Saldo W&amp;V],jrrekdata_grb[Subverdichtingscode],$B9)</f>
        <v>0</v>
      </c>
      <c r="D9" s="11"/>
      <c r="E9" s="11">
        <f>-SUMIFS(jrrekdata_grb[Budget],jrrekdata_grb[Subverdichtingscode],$B9)</f>
        <v>0</v>
      </c>
      <c r="F9" s="11"/>
      <c r="G9" s="11">
        <f>-SUMIFS(jrrekdata_grb[W&amp;V vorig jr.],jrrekdata_grb[Subverdichtingscode],$B9)</f>
        <v>0</v>
      </c>
    </row>
    <row r="10" spans="1:9" x14ac:dyDescent="0.2">
      <c r="A10" t="s">
        <v>554</v>
      </c>
      <c r="C10" s="11">
        <f>-SUMIFS(jrrekdata_grb[Saldo W&amp;V],jrrekdata_grb[Subverdichtingscode],$B10)</f>
        <v>0</v>
      </c>
      <c r="D10" s="11"/>
      <c r="E10" s="11">
        <f>-SUMIFS(jrrekdata_grb[Budget],jrrekdata_grb[Subverdichtingscode],$B10)</f>
        <v>0</v>
      </c>
      <c r="F10" s="11"/>
      <c r="G10" s="11">
        <f>-SUMIFS(jrrekdata_grb[W&amp;V vorig jr.],jrrekdata_grb[Subverdichtingscode],$B10)</f>
        <v>0</v>
      </c>
    </row>
    <row r="11" spans="1:9" x14ac:dyDescent="0.2">
      <c r="C11" s="12">
        <f>SUM(C9:C10)</f>
        <v>0</v>
      </c>
      <c r="D11" s="11"/>
      <c r="E11" s="12">
        <f>SUM(E9:E10)</f>
        <v>0</v>
      </c>
      <c r="F11" s="11"/>
      <c r="G11" s="12">
        <f>SUM(G9:G10)</f>
        <v>0</v>
      </c>
    </row>
    <row r="12" spans="1:9" x14ac:dyDescent="0.2">
      <c r="C12" s="11"/>
      <c r="D12" s="11"/>
      <c r="E12" s="11"/>
      <c r="F12" s="11"/>
      <c r="G12" s="11"/>
    </row>
    <row r="13" spans="1:9" x14ac:dyDescent="0.2">
      <c r="A13" s="10" t="s">
        <v>555</v>
      </c>
      <c r="C13" s="11"/>
      <c r="D13" s="11"/>
      <c r="E13" s="11"/>
      <c r="F13" s="11"/>
      <c r="G13" s="11"/>
    </row>
    <row r="14" spans="1:9" x14ac:dyDescent="0.2">
      <c r="A14" t="s">
        <v>556</v>
      </c>
      <c r="B14" t="s">
        <v>450</v>
      </c>
      <c r="C14" s="11">
        <f>-SUMIFS(jrrekdata_grb[Saldo W&amp;V],jrrekdata_grb[Subverdichtingscode],$B14)</f>
        <v>0</v>
      </c>
      <c r="D14" s="11"/>
      <c r="E14" s="11">
        <f>-SUMIFS(jrrekdata_grb[Budget],jrrekdata_grb[Subverdichtingscode],$B14)</f>
        <v>0</v>
      </c>
      <c r="F14" s="11"/>
      <c r="G14" s="11">
        <f>-SUMIFS(jrrekdata_grb[W&amp;V vorig jr.],jrrekdata_grb[Subverdichtingscode],$B14)</f>
        <v>0</v>
      </c>
    </row>
    <row r="15" spans="1:9" x14ac:dyDescent="0.2">
      <c r="A15" t="s">
        <v>557</v>
      </c>
      <c r="C15" s="11">
        <f>-SUMIFS(jrrekdata_grb[Saldo W&amp;V],jrrekdata_grb[Subverdichtingscode],$B15)</f>
        <v>0</v>
      </c>
      <c r="D15" s="11"/>
      <c r="E15" s="11">
        <f>-SUMIFS(jrrekdata_grb[Budget],jrrekdata_grb[Subverdichtingscode],$B15)</f>
        <v>0</v>
      </c>
      <c r="F15" s="11"/>
      <c r="G15" s="11">
        <f>-SUMIFS(jrrekdata_grb[W&amp;V vorig jr.],jrrekdata_grb[Subverdichtingscode],$B15)</f>
        <v>0</v>
      </c>
    </row>
    <row r="16" spans="1:9" x14ac:dyDescent="0.2">
      <c r="A16" t="s">
        <v>558</v>
      </c>
      <c r="C16" s="11">
        <f>-SUMIFS(jrrekdata_grb[Saldo W&amp;V],jrrekdata_grb[Subverdichtingscode],$B16)</f>
        <v>0</v>
      </c>
      <c r="D16" s="11"/>
      <c r="E16" s="11">
        <f>-SUMIFS(jrrekdata_grb[Budget],jrrekdata_grb[Subverdichtingscode],$B16)</f>
        <v>0</v>
      </c>
      <c r="F16" s="11"/>
      <c r="G16" s="11">
        <f>-SUMIFS(jrrekdata_grb[W&amp;V vorig jr.],jrrekdata_grb[Subverdichtingscode],$B16)</f>
        <v>0</v>
      </c>
    </row>
    <row r="17" spans="1:7" x14ac:dyDescent="0.2">
      <c r="A17" t="s">
        <v>559</v>
      </c>
      <c r="C17" s="11">
        <f>-SUMIFS(jrrekdata_grb[Saldo W&amp;V],jrrekdata_grb[Subverdichtingscode],$B17)</f>
        <v>0</v>
      </c>
      <c r="D17" s="11"/>
      <c r="E17" s="11">
        <f>-SUMIFS(jrrekdata_grb[Budget],jrrekdata_grb[Subverdichtingscode],$B17)</f>
        <v>0</v>
      </c>
      <c r="F17" s="11"/>
      <c r="G17" s="11">
        <f>-SUMIFS(jrrekdata_grb[W&amp;V vorig jr.],jrrekdata_grb[Subverdichtingscode],$B17)</f>
        <v>0</v>
      </c>
    </row>
    <row r="18" spans="1:7" x14ac:dyDescent="0.2">
      <c r="C18" s="12">
        <f>SUM(C14:C17)</f>
        <v>0</v>
      </c>
      <c r="D18" s="11"/>
      <c r="E18" s="12">
        <f>SUM(E14:E17)</f>
        <v>0</v>
      </c>
      <c r="F18" s="11"/>
      <c r="G18" s="12">
        <f>SUM(G14:G17)</f>
        <v>0</v>
      </c>
    </row>
    <row r="19" spans="1:7" x14ac:dyDescent="0.2">
      <c r="C19" s="11"/>
      <c r="D19" s="11"/>
      <c r="E19" s="11"/>
      <c r="F19" s="11"/>
      <c r="G19" s="11"/>
    </row>
    <row r="20" spans="1:7" x14ac:dyDescent="0.2">
      <c r="A20" s="10" t="s">
        <v>53</v>
      </c>
      <c r="C20" s="11"/>
      <c r="D20" s="11"/>
      <c r="E20" s="11"/>
      <c r="F20" s="11"/>
      <c r="G20" s="11"/>
    </row>
    <row r="21" spans="1:7" x14ac:dyDescent="0.2">
      <c r="A21" t="s">
        <v>560</v>
      </c>
      <c r="B21" t="s">
        <v>456</v>
      </c>
      <c r="C21" s="11">
        <f>-SUMIFS(jrrekdata_grb[Saldo W&amp;V],jrrekdata_grb[Subverdichtingscode],$B21)</f>
        <v>0</v>
      </c>
      <c r="D21" s="11"/>
      <c r="E21" s="11">
        <f>-SUMIFS(jrrekdata_grb[Budget],jrrekdata_grb[Subverdichtingscode],$B21)</f>
        <v>0</v>
      </c>
      <c r="F21" s="11"/>
      <c r="G21" s="11">
        <f>-SUMIFS(jrrekdata_grb[W&amp;V vorig jr.],jrrekdata_grb[Subverdichtingscode],$B21)</f>
        <v>0</v>
      </c>
    </row>
    <row r="22" spans="1:7" x14ac:dyDescent="0.2">
      <c r="A22" t="s">
        <v>561</v>
      </c>
      <c r="C22" s="11">
        <f>-SUMIFS(jrrekdata_grb[Saldo W&amp;V],jrrekdata_grb[Subverdichtingscode],$B22)</f>
        <v>0</v>
      </c>
      <c r="D22" s="11"/>
      <c r="E22" s="11">
        <f>-SUMIFS(jrrekdata_grb[Budget],jrrekdata_grb[Subverdichtingscode],$B22)</f>
        <v>0</v>
      </c>
      <c r="F22" s="11"/>
      <c r="G22" s="11">
        <f>-SUMIFS(jrrekdata_grb[W&amp;V vorig jr.],jrrekdata_grb[Subverdichtingscode],$B22)</f>
        <v>0</v>
      </c>
    </row>
    <row r="23" spans="1:7" x14ac:dyDescent="0.2">
      <c r="A23" t="s">
        <v>65</v>
      </c>
      <c r="C23" s="11">
        <f>-SUMIFS(jrrekdata_grb[Saldo W&amp;V],jrrekdata_grb[Subverdichtingscode],$B23)</f>
        <v>0</v>
      </c>
      <c r="D23" s="11"/>
      <c r="E23" s="11">
        <f>-SUMIFS(jrrekdata_grb[Budget],jrrekdata_grb[Subverdichtingscode],$B23)</f>
        <v>0</v>
      </c>
      <c r="F23" s="11"/>
      <c r="G23" s="11">
        <f>-SUMIFS(jrrekdata_grb[W&amp;V vorig jr.],jrrekdata_grb[Subverdichtingscode],$B23)</f>
        <v>0</v>
      </c>
    </row>
    <row r="24" spans="1:7" x14ac:dyDescent="0.2">
      <c r="A24" t="s">
        <v>562</v>
      </c>
      <c r="C24" s="11">
        <f>-SUMIFS(jrrekdata_grb[Saldo W&amp;V],jrrekdata_grb[Subverdichtingscode],$B24)</f>
        <v>0</v>
      </c>
      <c r="D24" s="11"/>
      <c r="E24" s="11">
        <f>-SUMIFS(jrrekdata_grb[Budget],jrrekdata_grb[Subverdichtingscode],$B24)</f>
        <v>0</v>
      </c>
      <c r="F24" s="11"/>
      <c r="G24" s="11">
        <f>-SUMIFS(jrrekdata_grb[W&amp;V vorig jr.],jrrekdata_grb[Subverdichtingscode],$B24)</f>
        <v>0</v>
      </c>
    </row>
    <row r="25" spans="1:7" x14ac:dyDescent="0.2">
      <c r="A25" t="s">
        <v>53</v>
      </c>
      <c r="C25" s="11">
        <f>-SUMIFS(jrrekdata_grb[Saldo W&amp;V],jrrekdata_grb[Subverdichtingscode],$B25)</f>
        <v>0</v>
      </c>
      <c r="D25" s="11"/>
      <c r="E25" s="11">
        <f>-SUMIFS(jrrekdata_grb[Budget],jrrekdata_grb[Subverdichtingscode],$B25)</f>
        <v>0</v>
      </c>
      <c r="F25" s="11"/>
      <c r="G25" s="11">
        <f>-SUMIFS(jrrekdata_grb[W&amp;V vorig jr.],jrrekdata_grb[Subverdichtingscode],$B25)</f>
        <v>0</v>
      </c>
    </row>
    <row r="26" spans="1:7" x14ac:dyDescent="0.2">
      <c r="C26" s="12">
        <f>SUM(C21:C25)</f>
        <v>0</v>
      </c>
      <c r="D26" s="11"/>
      <c r="E26" s="12">
        <f>SUM(E21:E25)</f>
        <v>0</v>
      </c>
      <c r="F26" s="11"/>
      <c r="G26" s="12">
        <f>SUM(G21:G25)</f>
        <v>0</v>
      </c>
    </row>
    <row r="28" spans="1:7" ht="15.75" x14ac:dyDescent="0.25">
      <c r="A28" s="2" t="s">
        <v>100</v>
      </c>
      <c r="E28" s="11"/>
      <c r="F28" s="11"/>
      <c r="G28" s="11"/>
    </row>
    <row r="29" spans="1:7" x14ac:dyDescent="0.2">
      <c r="E29" s="11"/>
      <c r="F29" s="11"/>
      <c r="G29" s="11"/>
    </row>
    <row r="30" spans="1:7" x14ac:dyDescent="0.2">
      <c r="A30" s="10" t="s">
        <v>563</v>
      </c>
    </row>
    <row r="31" spans="1:7" x14ac:dyDescent="0.2">
      <c r="A31" t="s">
        <v>564</v>
      </c>
      <c r="B31" t="s">
        <v>287</v>
      </c>
      <c r="C31" s="11">
        <f>SUMIFS(jrrekdata_grb[Saldo W&amp;V],jrrekdata_grb[Subverdichtingscode],$B31)-C32-C34</f>
        <v>0</v>
      </c>
      <c r="E31" s="11">
        <f>SUMIFS(jrrekdata_grb[Budget],jrrekdata_grb[Subverdichtingscode],$B31)-E32-E34</f>
        <v>0</v>
      </c>
      <c r="G31" s="11">
        <f>SUMIFS(jrrekdata_grb[W&amp;V vorig jr.],jrrekdata_grb[Subverdichtingscode],$B31)-G32-G34</f>
        <v>0</v>
      </c>
    </row>
    <row r="32" spans="1:7" x14ac:dyDescent="0.2">
      <c r="A32" t="s">
        <v>565</v>
      </c>
      <c r="B32" t="s">
        <v>291</v>
      </c>
      <c r="C32" s="11">
        <f>SUMIFS(jrrekdata_grb[Saldo W&amp;V],jrrekdata_grb[Nr.],$B32)</f>
        <v>0</v>
      </c>
      <c r="E32" s="11">
        <f>SUMIFS(jrrekdata_grb[Budget],jrrekdata_grb[Nr.],$B32)</f>
        <v>0</v>
      </c>
      <c r="G32" s="11">
        <f>SUMIFS(jrrekdata_grb[W&amp;V vorig jr.],jrrekdata_grb[Nr.],$B32)</f>
        <v>0</v>
      </c>
    </row>
    <row r="33" spans="1:7" x14ac:dyDescent="0.2">
      <c r="A33" t="s">
        <v>566</v>
      </c>
      <c r="B33" t="s">
        <v>298</v>
      </c>
      <c r="C33" s="11">
        <f>SUMIFS(jrrekdata_grb[Saldo W&amp;V],jrrekdata_grb[Subverdichtingscode],$B33)</f>
        <v>0</v>
      </c>
      <c r="E33" s="11">
        <f>SUMIFS(jrrekdata_grb[Budget],jrrekdata_grb[Subverdichtingscode],$B33)</f>
        <v>0</v>
      </c>
      <c r="G33" s="11">
        <f>SUMIFS(jrrekdata_grb[W&amp;V vorig jr.],jrrekdata_grb[Subverdichtingscode],$B33)</f>
        <v>0</v>
      </c>
    </row>
    <row r="34" spans="1:7" x14ac:dyDescent="0.2">
      <c r="A34" t="s">
        <v>567</v>
      </c>
      <c r="B34" t="s">
        <v>293</v>
      </c>
      <c r="C34" s="11">
        <f>SUMIFS(jrrekdata_grb[Saldo W&amp;V],jrrekdata_grb[Nr.],$B34)+SUMIFS(jrrekdata_grb[Saldo W&amp;V],jrrekdata_grb[Nr.],$B35)</f>
        <v>0</v>
      </c>
      <c r="E34" s="11">
        <f>SUMIFS(jrrekdata_grb[Budget],jrrekdata_grb[Nr.],$B34)+SUMIFS(jrrekdata_grb[Budget],jrrekdata_grb[Nr.],$B35)</f>
        <v>0</v>
      </c>
      <c r="G34" s="11">
        <f>SUMIFS(jrrekdata_grb[W&amp;V vorig jr.],jrrekdata_grb[Nr.],$B34)+SUMIFS(jrrekdata_grb[W&amp;V vorig jr.],jrrekdata_grb[Nr.],$B35)</f>
        <v>0</v>
      </c>
    </row>
    <row r="35" spans="1:7" x14ac:dyDescent="0.2">
      <c r="B35" s="51" t="s">
        <v>294</v>
      </c>
    </row>
    <row r="36" spans="1:7" x14ac:dyDescent="0.2">
      <c r="A36" s="10" t="s">
        <v>568</v>
      </c>
    </row>
    <row r="37" spans="1:7" x14ac:dyDescent="0.2">
      <c r="A37" t="s">
        <v>569</v>
      </c>
      <c r="B37" t="s">
        <v>301</v>
      </c>
      <c r="C37" s="11">
        <f>SUMIFS(jrrekdata_grb[Saldo W&amp;V],jrrekdata_grb[Subverdichtingscode],$B37)</f>
        <v>0</v>
      </c>
      <c r="E37" s="11">
        <f>SUMIFS(jrrekdata_grb[Budget],jrrekdata_grb[Subverdichtingscode],$B37)</f>
        <v>0</v>
      </c>
      <c r="G37" s="11">
        <f>SUMIFS(jrrekdata_grb[W&amp;V vorig jr.],jrrekdata_grb[Subverdichtingscode],$B37)</f>
        <v>0</v>
      </c>
    </row>
    <row r="38" spans="1:7" outlineLevel="1" x14ac:dyDescent="0.2">
      <c r="A38" t="s">
        <v>570</v>
      </c>
      <c r="C38" s="11">
        <f>SUMIFS(jrrekdata_grb[Saldo W&amp;V],jrrekdata_grb[Subverdichtingscode],$B38)</f>
        <v>0</v>
      </c>
      <c r="E38" s="11">
        <f>SUMIFS(jrrekdata_grb[Budget],jrrekdata_grb[Subverdichtingscode],$B38)</f>
        <v>0</v>
      </c>
      <c r="G38" s="11">
        <f>SUMIFS(jrrekdata_grb[W&amp;V vorig jr.],jrrekdata_grb[Subverdichtingscode],$B38)</f>
        <v>0</v>
      </c>
    </row>
    <row r="40" spans="1:7" x14ac:dyDescent="0.2">
      <c r="C40" s="12">
        <f>SUM(C31:C38)</f>
        <v>0</v>
      </c>
      <c r="E40" s="12">
        <f>SUM(E31:E38)</f>
        <v>0</v>
      </c>
      <c r="G40" s="12">
        <f>SUM(G31:G38)</f>
        <v>0</v>
      </c>
    </row>
    <row r="42" spans="1:7" x14ac:dyDescent="0.2">
      <c r="A42" t="s">
        <v>571</v>
      </c>
    </row>
    <row r="43" spans="1:7" x14ac:dyDescent="0.2">
      <c r="A43" t="str">
        <f>"In de totale kosten van het personeel (predikanten, kerkelijk werkers, kosters en overig personeel"</f>
        <v>In de totale kosten van het personeel (predikanten, kerkelijk werkers, kosters en overig personeel</v>
      </c>
    </row>
    <row r="44" spans="1:7" x14ac:dyDescent="0.2">
      <c r="A44" t="str">
        <f>"(zie verderop)) over "&amp;verslagjaar&amp;" ad € "&amp;TEXT(SUMIFS(jrrekdata_grb[Saldo W&amp;V],jrrekdata_grb[Verdichtingscode],66)-SUMIFS(jrrekdata_grb[Saldo W&amp;V],jrrekdata_grb[Nr.],"4142"),"###.###.##0")&amp;" zijn voor € "&amp;TEXT(SUMIFS(jrrekdata_grb[Saldo W&amp;V],jrrekdata_grb[Nr.],"4050")+SUMIFS(jrrekdata_grb[Saldo W&amp;V],jrrekdata_grb[Nr.],"4105"),"###.###.##0")&amp;" pensioenlasten en € "&amp;TEXT(SUMIFS(jrrekdata_grb[Saldo W&amp;V],jrrekdata_grb[Nr.],"4106"),"###.###.##0")&amp;" sociale lasten"</f>
        <v>(zie verderop)) over 2022 ad € 0 zijn voor € 0 pensioenlasten en € 0 sociale lasten</v>
      </c>
    </row>
    <row r="45" spans="1:7" x14ac:dyDescent="0.2">
      <c r="A45" t="s">
        <v>595</v>
      </c>
    </row>
    <row r="47" spans="1:7" x14ac:dyDescent="0.2">
      <c r="A47" s="10" t="s">
        <v>572</v>
      </c>
    </row>
    <row r="48" spans="1:7" x14ac:dyDescent="0.2">
      <c r="A48" t="s">
        <v>573</v>
      </c>
      <c r="B48" s="27" t="s">
        <v>316</v>
      </c>
      <c r="C48" s="11">
        <f>SUMIFS(jrrekdata_grb[Saldo W&amp;V],jrrekdata_grb[Nr.],$B48)</f>
        <v>0</v>
      </c>
      <c r="E48" s="11">
        <f>SUMIFS(jrrekdata_grb[Budget],jrrekdata_grb[Nr.],$B48)</f>
        <v>0</v>
      </c>
      <c r="G48" s="11">
        <f>SUMIFS(jrrekdata_grb[W&amp;V vorig jr.],jrrekdata_grb[Nr.],$B48)</f>
        <v>0</v>
      </c>
    </row>
    <row r="49" spans="1:7" outlineLevel="1" x14ac:dyDescent="0.2">
      <c r="A49" t="s">
        <v>574</v>
      </c>
    </row>
    <row r="50" spans="1:7" x14ac:dyDescent="0.2">
      <c r="A50" t="s">
        <v>324</v>
      </c>
      <c r="B50" s="27" t="s">
        <v>323</v>
      </c>
      <c r="C50" s="11">
        <f>SUMIFS(jrrekdata_grb[Saldo W&amp;V],jrrekdata_grb[Nr.],$B50)</f>
        <v>0</v>
      </c>
      <c r="E50" s="11">
        <f>SUMIFS(jrrekdata_grb[Budget],jrrekdata_grb[Nr.],$B50)</f>
        <v>0</v>
      </c>
      <c r="G50" s="11">
        <f>SUMIFS(jrrekdata_grb[W&amp;V vorig jr.],jrrekdata_grb[Nr.],$B50)</f>
        <v>0</v>
      </c>
    </row>
    <row r="51" spans="1:7" x14ac:dyDescent="0.2">
      <c r="A51" t="s">
        <v>575</v>
      </c>
      <c r="B51" t="s">
        <v>320</v>
      </c>
      <c r="C51" s="11">
        <f>SUMIFS(jrrekdata_grb[Saldo W&amp;V],jrrekdata_grb[Subverdichtingscode],$B51)-SUM(C48:C50)</f>
        <v>0</v>
      </c>
      <c r="E51" s="11">
        <f>SUMIFS(jrrekdata_grb[Budget],jrrekdata_grb[Subverdichtingscode],$B51)-SUM(E48:E50)</f>
        <v>0</v>
      </c>
      <c r="G51" s="11">
        <f>SUMIFS(jrrekdata_grb[W&amp;V vorig jr.],jrrekdata_grb[Subverdichtingscode],$B51)-SUM(G48:G50)</f>
        <v>0</v>
      </c>
    </row>
    <row r="52" spans="1:7" x14ac:dyDescent="0.2">
      <c r="C52" s="12">
        <f>SUM(C48:C51)</f>
        <v>0</v>
      </c>
      <c r="E52" s="12">
        <f>SUM(E48:E51)</f>
        <v>0</v>
      </c>
      <c r="G52" s="12">
        <f>SUM(G48:G51)</f>
        <v>0</v>
      </c>
    </row>
    <row r="54" spans="1:7" x14ac:dyDescent="0.2">
      <c r="A54" t="s">
        <v>571</v>
      </c>
    </row>
    <row r="55" spans="1:7" x14ac:dyDescent="0.2">
      <c r="A55" t="s">
        <v>576</v>
      </c>
    </row>
    <row r="57" spans="1:7" x14ac:dyDescent="0.2">
      <c r="A57" s="10" t="s">
        <v>336</v>
      </c>
    </row>
    <row r="58" spans="1:7" x14ac:dyDescent="0.2">
      <c r="A58" t="s">
        <v>577</v>
      </c>
      <c r="B58" t="s">
        <v>337</v>
      </c>
      <c r="C58" s="11">
        <f>SUMIFS(jrrekdata_grb[Saldo W&amp;V],jrrekdata_grb[Subverdichtingscode],$B58)-SUM(C55:C57)</f>
        <v>0</v>
      </c>
      <c r="E58" s="11">
        <f>SUMIFS(jrrekdata_grb[Budget],jrrekdata_grb[Subverdichtingscode],$B58)-SUM(E55:E57)</f>
        <v>0</v>
      </c>
      <c r="G58" s="11">
        <f>SUMIFS(jrrekdata_grb[W&amp;V vorig jr.],jrrekdata_grb[Subverdichtingscode],$B58)-SUM(G55:G57)</f>
        <v>0</v>
      </c>
    </row>
    <row r="59" spans="1:7" outlineLevel="1" x14ac:dyDescent="0.2">
      <c r="A59" t="s">
        <v>578</v>
      </c>
    </row>
    <row r="60" spans="1:7" outlineLevel="1" x14ac:dyDescent="0.2">
      <c r="A60" t="s">
        <v>579</v>
      </c>
    </row>
    <row r="61" spans="1:7" outlineLevel="1" x14ac:dyDescent="0.2">
      <c r="A61" t="s">
        <v>580</v>
      </c>
    </row>
    <row r="63" spans="1:7" x14ac:dyDescent="0.2">
      <c r="A63" s="10" t="s">
        <v>581</v>
      </c>
    </row>
    <row r="64" spans="1:7" outlineLevel="1" x14ac:dyDescent="0.2">
      <c r="A64" t="s">
        <v>582</v>
      </c>
    </row>
    <row r="65" spans="1:7" outlineLevel="1" x14ac:dyDescent="0.2">
      <c r="A65" t="s">
        <v>583</v>
      </c>
    </row>
    <row r="66" spans="1:7" x14ac:dyDescent="0.2">
      <c r="A66" t="s">
        <v>342</v>
      </c>
      <c r="B66" t="s">
        <v>341</v>
      </c>
      <c r="C66" s="11">
        <f>SUMIFS(jrrekdata_grb[Saldo W&amp;V],jrrekdata_grb[Subverdichtingscode],$B66)-SUM(C59:C61)</f>
        <v>0</v>
      </c>
      <c r="E66" s="11">
        <f>SUMIFS(jrrekdata_grb[Budget],jrrekdata_grb[Subverdichtingscode],$B66)-SUM(E59:E61)</f>
        <v>0</v>
      </c>
      <c r="G66" s="11">
        <f>SUMIFS(jrrekdata_grb[W&amp;V vorig jr.],jrrekdata_grb[Subverdichtingscode],$B66)-SUM(G59:G61)</f>
        <v>0</v>
      </c>
    </row>
    <row r="68" spans="1:7" x14ac:dyDescent="0.2">
      <c r="C68" s="12">
        <f>SUM(C58:C66)</f>
        <v>0</v>
      </c>
      <c r="E68" s="12">
        <f>SUM(E58:E66)</f>
        <v>0</v>
      </c>
      <c r="G68" s="12">
        <f>SUM(G58:G66)</f>
        <v>0</v>
      </c>
    </row>
    <row r="70" spans="1:7" x14ac:dyDescent="0.2">
      <c r="A70" s="10" t="s">
        <v>584</v>
      </c>
    </row>
    <row r="71" spans="1:7" x14ac:dyDescent="0.2">
      <c r="A71" t="s">
        <v>585</v>
      </c>
      <c r="B71" t="s">
        <v>350</v>
      </c>
      <c r="C71" s="11">
        <f>SUMIFS(jrrekdata_grb[Saldo W&amp;V],jrrekdata_grb[Subverdichtingscode],$B71)-C73</f>
        <v>0</v>
      </c>
      <c r="E71" s="11">
        <f>SUMIFS(jrrekdata_grb[Budget],jrrekdata_grb[Subverdichtingscode],$B71)-E73</f>
        <v>0</v>
      </c>
      <c r="G71" s="11">
        <f>SUMIFS(jrrekdata_grb[W&amp;V vorig jr.],jrrekdata_grb[Subverdichtingscode],$B71)-G73</f>
        <v>0</v>
      </c>
    </row>
    <row r="72" spans="1:7" outlineLevel="1" x14ac:dyDescent="0.2">
      <c r="A72" t="s">
        <v>586</v>
      </c>
    </row>
    <row r="73" spans="1:7" x14ac:dyDescent="0.2">
      <c r="A73" t="s">
        <v>587</v>
      </c>
      <c r="B73" s="27" t="s">
        <v>357</v>
      </c>
      <c r="C73" s="11">
        <f>SUMIFS(jrrekdata_grb[Saldo W&amp;V],jrrekdata_grb[Nr.],$B73)</f>
        <v>0</v>
      </c>
      <c r="D73" s="11"/>
      <c r="E73" s="11">
        <f>SUMIFS(jrrekdata_grb[Budget],jrrekdata_grb[Nr.],$B73)</f>
        <v>0</v>
      </c>
      <c r="F73" s="11"/>
      <c r="G73" s="11">
        <f>SUMIFS(jrrekdata_grb[W&amp;V vorig jr.],jrrekdata_grb[Nr.],$B73)</f>
        <v>0</v>
      </c>
    </row>
    <row r="74" spans="1:7" x14ac:dyDescent="0.2">
      <c r="C74" s="12">
        <f>SUM(C71:C73)</f>
        <v>0</v>
      </c>
      <c r="E74" s="12">
        <f>SUM(E71:E73)</f>
        <v>0</v>
      </c>
      <c r="G74" s="12">
        <f>SUM(G71:G73)</f>
        <v>0</v>
      </c>
    </row>
    <row r="76" spans="1:7" x14ac:dyDescent="0.2">
      <c r="A76" s="10" t="s">
        <v>363</v>
      </c>
      <c r="B76" s="52" t="s">
        <v>369</v>
      </c>
    </row>
    <row r="77" spans="1:7" x14ac:dyDescent="0.2">
      <c r="A77" t="s">
        <v>588</v>
      </c>
      <c r="B77" s="27" t="s">
        <v>360</v>
      </c>
      <c r="C77" s="11">
        <f>SUMIFS(jrrekdata_grb[Saldo W&amp;V],jrrekdata_grb[Nr.],$B77)+SUMIFS(jrrekdata_grb[Saldo W&amp;V],jrrekdata_grb[Nr.],$B$76)</f>
        <v>0</v>
      </c>
      <c r="D77" s="11"/>
      <c r="E77" s="11">
        <f>SUMIFS(jrrekdata_grb[Budget],jrrekdata_grb[Nr.],$B77)+SUMIFS(jrrekdata_grb[Budget],jrrekdata_grb[Nr.],$B$76)</f>
        <v>0</v>
      </c>
      <c r="F77" s="11"/>
      <c r="G77" s="11">
        <f>SUMIFS(jrrekdata_grb[W&amp;V vorig jr.],jrrekdata_grb[Nr.],$B77)+SUMIFS(jrrekdata_grb[W&amp;V vorig jr.],jrrekdata_grb[Nr.],$B$76)</f>
        <v>0</v>
      </c>
    </row>
    <row r="78" spans="1:7" x14ac:dyDescent="0.2">
      <c r="A78" t="s">
        <v>589</v>
      </c>
      <c r="B78" t="s">
        <v>364</v>
      </c>
      <c r="C78" s="11">
        <f>SUMIFS(jrrekdata_grb[Saldo W&amp;V],jrrekdata_grb[Subverdichtingscode],$B78)-C77-C79</f>
        <v>0</v>
      </c>
      <c r="E78" s="11">
        <f>SUMIFS(jrrekdata_grb[Budget],jrrekdata_grb[Subverdichtingscode],$B78)-E77-E79</f>
        <v>0</v>
      </c>
      <c r="G78" s="11">
        <f>SUMIFS(jrrekdata_grb[W&amp;V vorig jr.],jrrekdata_grb[Subverdichtingscode],$B78)-G77-G79</f>
        <v>0</v>
      </c>
    </row>
    <row r="79" spans="1:7" x14ac:dyDescent="0.2">
      <c r="A79" t="s">
        <v>590</v>
      </c>
      <c r="B79" s="27" t="s">
        <v>378</v>
      </c>
      <c r="C79" s="11">
        <f>SUMIFS(jrrekdata_grb[Saldo W&amp;V],jrrekdata_grb[Nr.],$B79)</f>
        <v>0</v>
      </c>
      <c r="D79" s="11"/>
      <c r="E79" s="11">
        <f>SUMIFS(jrrekdata_grb[Budget],jrrekdata_grb[Nr.],$B79)</f>
        <v>0</v>
      </c>
      <c r="F79" s="11"/>
      <c r="G79" s="11">
        <f>SUMIFS(jrrekdata_grb[W&amp;V vorig jr.],jrrekdata_grb[Nr.],$B79)</f>
        <v>0</v>
      </c>
    </row>
    <row r="80" spans="1:7" x14ac:dyDescent="0.2">
      <c r="A80" t="s">
        <v>591</v>
      </c>
      <c r="B80" t="s">
        <v>390</v>
      </c>
      <c r="C80" s="11">
        <f>SUMIFS(jrrekdata_grb[Saldo W&amp;V],jrrekdata_grb[Subverdichtingscode],$B80)</f>
        <v>0</v>
      </c>
      <c r="E80" s="11">
        <f>SUMIFS(jrrekdata_grb[Budget],jrrekdata_grb[Subverdichtingscode],$B80)</f>
        <v>0</v>
      </c>
      <c r="G80" s="11">
        <f>SUMIFS(jrrekdata_grb[W&amp;V vorig jr.],jrrekdata_grb[Subverdichtingscode],$B80)</f>
        <v>0</v>
      </c>
    </row>
    <row r="81" spans="1:7" outlineLevel="1" x14ac:dyDescent="0.2">
      <c r="A81" t="s">
        <v>592</v>
      </c>
    </row>
    <row r="82" spans="1:7" x14ac:dyDescent="0.2">
      <c r="C82" s="12">
        <f>SUM(C77:C81)</f>
        <v>0</v>
      </c>
      <c r="E82" s="12">
        <f>SUM(E77:E81)</f>
        <v>0</v>
      </c>
      <c r="G82" s="12">
        <f>SUM(G77:G81)</f>
        <v>0</v>
      </c>
    </row>
    <row r="84" spans="1:7" x14ac:dyDescent="0.2">
      <c r="A84" s="10" t="s">
        <v>395</v>
      </c>
      <c r="B84" s="52" t="s">
        <v>405</v>
      </c>
    </row>
    <row r="85" spans="1:7" x14ac:dyDescent="0.2">
      <c r="A85" t="s">
        <v>593</v>
      </c>
      <c r="B85" s="27" t="s">
        <v>403</v>
      </c>
      <c r="C85" s="11">
        <f>SUMIFS(jrrekdata_grb[Saldo W&amp;V],jrrekdata_grb[Nr.],$B85)</f>
        <v>0</v>
      </c>
      <c r="D85" s="11"/>
      <c r="E85" s="11">
        <f>SUMIFS(jrrekdata_grb[Budget],jrrekdata_grb[Nr.],$B85)</f>
        <v>0</v>
      </c>
      <c r="F85" s="11"/>
      <c r="G85" s="11">
        <f>SUMIFS(jrrekdata_grb[W&amp;V vorig jr.],jrrekdata_grb[Nr.],$B85)+SUMIFS(jrrekdata_grb[W&amp;V vorig jr.],jrrekdata_grb[Nr.],$B84)</f>
        <v>0</v>
      </c>
    </row>
    <row r="86" spans="1:7" x14ac:dyDescent="0.2">
      <c r="A86" t="s">
        <v>594</v>
      </c>
    </row>
    <row r="87" spans="1:7" x14ac:dyDescent="0.2">
      <c r="A87" t="s">
        <v>408</v>
      </c>
      <c r="B87" s="27" t="s">
        <v>407</v>
      </c>
      <c r="C87" s="11">
        <f>SUMIFS(jrrekdata_grb[Saldo W&amp;V],jrrekdata_grb[Nr.],$B87)</f>
        <v>0</v>
      </c>
      <c r="D87" s="11"/>
      <c r="E87" s="11">
        <f>SUMIFS(jrrekdata_grb[Budget],jrrekdata_grb[Nr.],$B87)</f>
        <v>0</v>
      </c>
      <c r="F87" s="11"/>
      <c r="G87" s="11">
        <f>SUMIFS(jrrekdata_grb[W&amp;V vorig jr.],jrrekdata_grb[Nr.],$B87)</f>
        <v>0</v>
      </c>
    </row>
    <row r="88" spans="1:7" x14ac:dyDescent="0.2">
      <c r="A88" t="s">
        <v>63</v>
      </c>
      <c r="B88" t="s">
        <v>396</v>
      </c>
      <c r="C88" s="11">
        <f>SUMIFS(jrrekdata_grb[Saldo W&amp;V],jrrekdata_grb[Subverdichtingscode],$B88)-SUM(C85:C87)+SUMIFS(jrrekdata_grb[Saldo W&amp;V],jrrekdata_grb[Subverdichtingscode],$B89)</f>
        <v>0</v>
      </c>
      <c r="E88" s="11">
        <f>SUMIFS(jrrekdata_grb[Budget],jrrekdata_grb[Subverdichtingscode],$B88)-SUM(E85:E87)+SUMIFS(jrrekdata_grb[Budget],jrrekdata_grb[Subverdichtingscode],$B89)</f>
        <v>0</v>
      </c>
      <c r="G88" s="11">
        <f>SUMIFS(jrrekdata_grb[W&amp;V vorig jr.],jrrekdata_grb[Subverdichtingscode],$B88)-SUM(G85:G87)+SUMIFS(jrrekdata_grb[W&amp;V vorig jr.],jrrekdata_grb[Subverdichtingscode],$B89)</f>
        <v>0</v>
      </c>
    </row>
    <row r="89" spans="1:7" x14ac:dyDescent="0.2">
      <c r="B89" s="51" t="s">
        <v>424</v>
      </c>
      <c r="C89" s="12">
        <f>SUM(C85:C88)</f>
        <v>0</v>
      </c>
      <c r="E89" s="12">
        <f>SUM(E85:E88)</f>
        <v>0</v>
      </c>
      <c r="G89" s="12">
        <f>SUM(G85:G88)</f>
        <v>0</v>
      </c>
    </row>
    <row r="91" spans="1:7" x14ac:dyDescent="0.2">
      <c r="A91" t="s">
        <v>106</v>
      </c>
      <c r="B91" s="27" t="s">
        <v>429</v>
      </c>
      <c r="C91" s="11">
        <f>SUMIFS(jrrekdata_grb[Saldo W&amp;V],jrrekdata_grb[Verdichtingscode],$B91)</f>
        <v>0</v>
      </c>
      <c r="E91" s="11">
        <f>SUMIFS(jrrekdata_grb[Budget],jrrekdata_grb[Verdichtingscode],$B91)</f>
        <v>0</v>
      </c>
      <c r="G91" s="11">
        <f>SUMIFS(jrrekdata_grb[W&amp;V vorig jr.],jrrekdata_grb[Verdichtingscode],$B91)</f>
        <v>0</v>
      </c>
    </row>
    <row r="92" spans="1:7" x14ac:dyDescent="0.2">
      <c r="C92" s="12">
        <f>SUM(C91:C91)</f>
        <v>0</v>
      </c>
      <c r="E92" s="12">
        <f>SUM(E91:E91)</f>
        <v>0</v>
      </c>
      <c r="G92" s="12">
        <f>SUM(G91:G91)</f>
        <v>0</v>
      </c>
    </row>
    <row r="128" hidden="1" outlineLevel="1" x14ac:dyDescent="0.2"/>
    <row r="129" collapsed="1" x14ac:dyDescent="0.2"/>
    <row r="136" hidden="1" outlineLevel="1" x14ac:dyDescent="0.2"/>
    <row r="137" hidden="1" outlineLevel="1" x14ac:dyDescent="0.2"/>
    <row r="138" collapsed="1" x14ac:dyDescent="0.2"/>
    <row r="146" spans="3:9" hidden="1" outlineLevel="1" x14ac:dyDescent="0.2"/>
    <row r="147" spans="3:9" hidden="1" outlineLevel="1" x14ac:dyDescent="0.2"/>
    <row r="148" spans="3:9" collapsed="1" x14ac:dyDescent="0.2"/>
    <row r="158" spans="3:9" x14ac:dyDescent="0.2">
      <c r="C158" s="11"/>
      <c r="D158" s="11"/>
      <c r="E158" s="11"/>
      <c r="F158" s="11"/>
      <c r="G158" s="11"/>
      <c r="H158" s="11"/>
      <c r="I158" s="11"/>
    </row>
    <row r="159" spans="3:9" x14ac:dyDescent="0.2">
      <c r="C159" s="11"/>
      <c r="D159" s="11"/>
      <c r="E159" s="11"/>
      <c r="F159" s="11"/>
      <c r="G159" s="11"/>
      <c r="H159" s="11"/>
      <c r="I159" s="11"/>
    </row>
    <row r="160" spans="3:9" x14ac:dyDescent="0.2">
      <c r="C160" s="11"/>
      <c r="D160" s="11"/>
      <c r="E160" s="11"/>
      <c r="F160" s="11"/>
      <c r="G160" s="11"/>
      <c r="H160" s="11"/>
      <c r="I160" s="11"/>
    </row>
    <row r="161" spans="3:9" x14ac:dyDescent="0.2">
      <c r="C161" s="11"/>
      <c r="D161" s="11"/>
      <c r="E161" s="11"/>
      <c r="F161" s="11"/>
      <c r="G161" s="11"/>
      <c r="H161" s="11"/>
      <c r="I161" s="11"/>
    </row>
    <row r="162" spans="3:9" x14ac:dyDescent="0.2">
      <c r="C162" s="11"/>
      <c r="D162" s="11"/>
      <c r="E162" s="11"/>
      <c r="F162" s="11"/>
      <c r="G162" s="11"/>
      <c r="H162" s="11"/>
      <c r="I162" s="11"/>
    </row>
    <row r="163" spans="3:9" x14ac:dyDescent="0.2">
      <c r="C163" s="11"/>
      <c r="D163" s="11"/>
      <c r="E163" s="11"/>
      <c r="F163" s="11"/>
      <c r="G163" s="11"/>
      <c r="H163" s="11"/>
      <c r="I163" s="11"/>
    </row>
    <row r="164" spans="3:9" x14ac:dyDescent="0.2">
      <c r="C164" s="11"/>
      <c r="D164" s="11"/>
      <c r="E164" s="11"/>
      <c r="F164" s="11"/>
      <c r="G164" s="11"/>
      <c r="H164" s="11"/>
      <c r="I164" s="11"/>
    </row>
    <row r="165" spans="3:9" x14ac:dyDescent="0.2">
      <c r="C165" s="11"/>
      <c r="D165" s="11"/>
      <c r="E165" s="11"/>
      <c r="F165" s="11"/>
      <c r="G165" s="11"/>
      <c r="H165" s="11"/>
      <c r="I165" s="11"/>
    </row>
    <row r="166" spans="3:9" x14ac:dyDescent="0.2">
      <c r="C166" s="11"/>
      <c r="D166" s="11"/>
      <c r="E166" s="11"/>
      <c r="F166" s="11"/>
      <c r="G166" s="11"/>
      <c r="H166" s="11"/>
      <c r="I166" s="11"/>
    </row>
    <row r="167" spans="3:9" x14ac:dyDescent="0.2">
      <c r="C167" s="11"/>
      <c r="D167" s="11"/>
      <c r="E167" s="11"/>
      <c r="F167" s="11"/>
      <c r="G167" s="11"/>
      <c r="H167" s="11"/>
      <c r="I167" s="11"/>
    </row>
    <row r="168" spans="3:9" x14ac:dyDescent="0.2">
      <c r="C168" s="11"/>
      <c r="D168" s="11"/>
      <c r="E168" s="11"/>
      <c r="F168" s="11"/>
      <c r="G168" s="11"/>
      <c r="H168" s="11"/>
      <c r="I168" s="11"/>
    </row>
    <row r="169" spans="3:9" x14ac:dyDescent="0.2">
      <c r="C169" s="11"/>
      <c r="D169" s="11"/>
      <c r="E169" s="11"/>
      <c r="F169" s="11"/>
      <c r="G169" s="11"/>
      <c r="H169" s="11"/>
      <c r="I169" s="11"/>
    </row>
    <row r="170" spans="3:9" x14ac:dyDescent="0.2">
      <c r="C170" s="11"/>
      <c r="D170" s="11"/>
      <c r="E170" s="11"/>
      <c r="F170" s="11"/>
      <c r="G170" s="11"/>
      <c r="H170" s="11"/>
      <c r="I170" s="11"/>
    </row>
    <row r="171" spans="3:9" x14ac:dyDescent="0.2">
      <c r="C171" s="11"/>
      <c r="D171" s="11"/>
      <c r="E171" s="11"/>
      <c r="F171" s="11"/>
      <c r="G171" s="11"/>
      <c r="H171" s="11"/>
      <c r="I171" s="11"/>
    </row>
    <row r="172" spans="3:9" x14ac:dyDescent="0.2">
      <c r="C172" s="11"/>
      <c r="D172" s="11"/>
      <c r="E172" s="11"/>
      <c r="F172" s="11"/>
      <c r="G172" s="11"/>
      <c r="H172" s="11"/>
      <c r="I172" s="11"/>
    </row>
    <row r="173" spans="3:9" x14ac:dyDescent="0.2">
      <c r="C173" s="11"/>
      <c r="D173" s="11"/>
      <c r="E173" s="11"/>
      <c r="F173" s="11"/>
      <c r="G173" s="11"/>
      <c r="H173" s="11"/>
      <c r="I173" s="11"/>
    </row>
    <row r="174" spans="3:9" x14ac:dyDescent="0.2">
      <c r="C174" s="11"/>
      <c r="D174" s="11"/>
      <c r="E174" s="11"/>
      <c r="F174" s="11"/>
      <c r="G174" s="11"/>
      <c r="H174" s="11"/>
      <c r="I174" s="11"/>
    </row>
    <row r="175" spans="3:9" x14ac:dyDescent="0.2">
      <c r="C175" s="11"/>
      <c r="D175" s="11"/>
      <c r="E175" s="11"/>
      <c r="F175" s="11"/>
      <c r="G175" s="11"/>
      <c r="H175" s="11"/>
      <c r="I175" s="11"/>
    </row>
    <row r="176" spans="3:9" x14ac:dyDescent="0.2">
      <c r="C176" s="11"/>
      <c r="D176" s="11"/>
      <c r="E176" s="11"/>
      <c r="F176" s="11"/>
      <c r="G176" s="11"/>
      <c r="H176" s="11"/>
      <c r="I176" s="11"/>
    </row>
    <row r="177" spans="3:9" x14ac:dyDescent="0.2">
      <c r="C177" s="11"/>
      <c r="D177" s="11"/>
      <c r="E177" s="11"/>
      <c r="F177" s="11"/>
      <c r="G177" s="11"/>
      <c r="H177" s="11"/>
      <c r="I177" s="11"/>
    </row>
    <row r="178" spans="3:9" x14ac:dyDescent="0.2">
      <c r="C178" s="11"/>
      <c r="D178" s="11"/>
      <c r="E178" s="11"/>
      <c r="F178" s="11"/>
      <c r="G178" s="11"/>
      <c r="H178" s="11"/>
      <c r="I178" s="11"/>
    </row>
    <row r="179" spans="3:9" x14ac:dyDescent="0.2">
      <c r="C179" s="11"/>
      <c r="D179" s="11"/>
      <c r="E179" s="11"/>
      <c r="F179" s="11"/>
      <c r="G179" s="11"/>
      <c r="H179" s="11"/>
      <c r="I179" s="11"/>
    </row>
    <row r="180" spans="3:9" x14ac:dyDescent="0.2">
      <c r="C180" s="11"/>
      <c r="D180" s="11"/>
      <c r="E180" s="11"/>
      <c r="F180" s="11"/>
      <c r="G180" s="11"/>
      <c r="H180" s="11"/>
      <c r="I180" s="11"/>
    </row>
    <row r="181" spans="3:9" x14ac:dyDescent="0.2">
      <c r="C181" s="11"/>
      <c r="D181" s="11"/>
      <c r="E181" s="11"/>
      <c r="F181" s="11"/>
      <c r="G181" s="11"/>
      <c r="H181" s="11"/>
      <c r="I181" s="11"/>
    </row>
    <row r="182" spans="3:9" x14ac:dyDescent="0.2">
      <c r="C182" s="11"/>
      <c r="D182" s="11"/>
      <c r="E182" s="11"/>
      <c r="F182" s="11"/>
      <c r="G182" s="11"/>
      <c r="H182" s="11"/>
      <c r="I182" s="11"/>
    </row>
    <row r="183" spans="3:9" x14ac:dyDescent="0.2">
      <c r="C183" s="11"/>
      <c r="D183" s="11"/>
      <c r="E183" s="11"/>
      <c r="F183" s="11"/>
      <c r="G183" s="11"/>
      <c r="H183" s="11"/>
      <c r="I183" s="11"/>
    </row>
    <row r="184" spans="3:9" x14ac:dyDescent="0.2">
      <c r="C184" s="11"/>
      <c r="D184" s="11"/>
      <c r="E184" s="11"/>
      <c r="F184" s="11"/>
      <c r="G184" s="11"/>
      <c r="H184" s="11"/>
      <c r="I184" s="11"/>
    </row>
  </sheetData>
  <mergeCells count="1">
    <mergeCell ref="A1:I1"/>
  </mergeCells>
  <conditionalFormatting sqref="C9 E9">
    <cfRule type="cellIs" dxfId="30" priority="10" operator="equal">
      <formula>0</formula>
    </cfRule>
  </conditionalFormatting>
  <conditionalFormatting sqref="G9">
    <cfRule type="cellIs" dxfId="29" priority="9" operator="equal">
      <formula>0</formula>
    </cfRule>
  </conditionalFormatting>
  <conditionalFormatting sqref="C10:C11 E10:E11">
    <cfRule type="cellIs" dxfId="28" priority="8" operator="equal">
      <formula>0</formula>
    </cfRule>
  </conditionalFormatting>
  <conditionalFormatting sqref="G10">
    <cfRule type="cellIs" dxfId="27" priority="7" operator="equal">
      <formula>0</formula>
    </cfRule>
  </conditionalFormatting>
  <conditionalFormatting sqref="C14:C18 E14:E18">
    <cfRule type="cellIs" dxfId="26" priority="6" operator="equal">
      <formula>0</formula>
    </cfRule>
  </conditionalFormatting>
  <conditionalFormatting sqref="G14:G17">
    <cfRule type="cellIs" dxfId="25" priority="5" operator="equal">
      <formula>0</formula>
    </cfRule>
  </conditionalFormatting>
  <conditionalFormatting sqref="C21:C25 E21:E25">
    <cfRule type="cellIs" dxfId="24" priority="4" operator="equal">
      <formula>0</formula>
    </cfRule>
  </conditionalFormatting>
  <conditionalFormatting sqref="G21:G25">
    <cfRule type="cellIs" dxfId="23" priority="3" operator="equal">
      <formula>0</formula>
    </cfRule>
  </conditionalFormatting>
  <conditionalFormatting sqref="G11">
    <cfRule type="cellIs" dxfId="22" priority="2" operator="equal">
      <formula>0</formula>
    </cfRule>
  </conditionalFormatting>
  <conditionalFormatting sqref="G18">
    <cfRule type="cellIs" dxfId="21" priority="1" operator="equal">
      <formula>0</formula>
    </cfRule>
  </conditionalFormatting>
  <pageMargins left="0.70866141732283472" right="0.70866141732283472" top="0.74803149606299213" bottom="0.74803149606299213" header="0.31496062992125984" footer="0.31496062992125984"/>
  <pageSetup paperSize="9" orientation="portrait" r:id="rId1"/>
  <headerFooter>
    <oddHeader>&amp;R&amp;G</oddHeader>
    <oddFooter>&amp;L&amp;9Concept jaarrekening 2021&amp;C&amp;9Versie: 23-2-2022&amp;R&amp;9- &amp;P -</oddFooter>
  </headerFooter>
  <rowBreaks count="1" manualBreakCount="1">
    <brk id="123"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6">
    <tabColor rgb="FF92D050"/>
  </sheetPr>
  <dimension ref="A1:I95"/>
  <sheetViews>
    <sheetView workbookViewId="0">
      <selection activeCell="C20" sqref="C20"/>
    </sheetView>
  </sheetViews>
  <sheetFormatPr defaultRowHeight="12.75" x14ac:dyDescent="0.2"/>
  <cols>
    <col min="1" max="1" width="44" bestFit="1" customWidth="1"/>
    <col min="2" max="2" width="5.7109375" customWidth="1"/>
    <col min="3" max="4" width="14" customWidth="1"/>
    <col min="5" max="7" width="7.7109375" customWidth="1"/>
    <col min="8" max="10" width="9.140625" customWidth="1"/>
  </cols>
  <sheetData>
    <row r="1" spans="1:4" ht="18" x14ac:dyDescent="0.25">
      <c r="A1" s="9" t="s">
        <v>112</v>
      </c>
      <c r="B1" s="9"/>
    </row>
    <row r="3" spans="1:4" x14ac:dyDescent="0.2">
      <c r="C3" s="1">
        <f>verslagjaar</f>
        <v>2022</v>
      </c>
      <c r="D3" s="1">
        <f>verslagjaar-1</f>
        <v>2021</v>
      </c>
    </row>
    <row r="5" spans="1:4" x14ac:dyDescent="0.2">
      <c r="A5" s="21" t="s">
        <v>113</v>
      </c>
      <c r="B5" s="19"/>
      <c r="C5" s="20" t="e">
        <f>(Balans!D20+Balans!D22)/Balans!D54</f>
        <v>#DIV/0!</v>
      </c>
      <c r="D5" s="20" t="e">
        <f>(Balans!G20+Balans!G22)/Balans!G54</f>
        <v>#DIV/0!</v>
      </c>
    </row>
    <row r="6" spans="1:4" x14ac:dyDescent="0.2">
      <c r="A6" t="s">
        <v>114</v>
      </c>
    </row>
    <row r="8" spans="1:4" ht="51" x14ac:dyDescent="0.2">
      <c r="A8" s="22" t="s">
        <v>115</v>
      </c>
    </row>
    <row r="10" spans="1:4" x14ac:dyDescent="0.2">
      <c r="A10" s="21" t="s">
        <v>118</v>
      </c>
      <c r="B10" s="19"/>
      <c r="C10" s="20" t="e">
        <f>Balans!D41/Balans!D56</f>
        <v>#DIV/0!</v>
      </c>
      <c r="D10" s="20" t="e">
        <f>Balans!G41/Balans!G56</f>
        <v>#DIV/0!</v>
      </c>
    </row>
    <row r="11" spans="1:4" x14ac:dyDescent="0.2">
      <c r="A11" t="s">
        <v>116</v>
      </c>
    </row>
    <row r="13" spans="1:4" ht="63.75" x14ac:dyDescent="0.2">
      <c r="A13" s="22" t="s">
        <v>117</v>
      </c>
    </row>
    <row r="15" spans="1:4" x14ac:dyDescent="0.2">
      <c r="A15" s="21" t="s">
        <v>118</v>
      </c>
      <c r="B15" s="19"/>
      <c r="C15" s="23" t="e">
        <f>(Balans!D41+Balans!D43)/Balans!D56</f>
        <v>#DIV/0!</v>
      </c>
      <c r="D15" s="23" t="e">
        <f>(Balans!G41+Balans!G43)/Balans!G56</f>
        <v>#DIV/0!</v>
      </c>
    </row>
    <row r="16" spans="1:4" ht="25.5" x14ac:dyDescent="0.2">
      <c r="A16" s="22" t="s">
        <v>119</v>
      </c>
    </row>
    <row r="18" spans="1:4" ht="63.75" x14ac:dyDescent="0.2">
      <c r="A18" s="22" t="s">
        <v>120</v>
      </c>
    </row>
    <row r="20" spans="1:4" x14ac:dyDescent="0.2">
      <c r="A20" s="21" t="s">
        <v>121</v>
      </c>
      <c r="B20" s="19"/>
      <c r="C20" s="20" t="e">
        <f>Balans!D41/('Staat van baten en lasten'!C16)</f>
        <v>#DIV/0!</v>
      </c>
      <c r="D20" s="20" t="e">
        <f>Balans!G41/('Staat van baten en lasten'!G16)</f>
        <v>#DIV/0!</v>
      </c>
    </row>
    <row r="21" spans="1:4" ht="25.5" x14ac:dyDescent="0.2">
      <c r="A21" s="22" t="s">
        <v>122</v>
      </c>
    </row>
    <row r="23" spans="1:4" ht="25.5" x14ac:dyDescent="0.2">
      <c r="A23" s="22" t="s">
        <v>123</v>
      </c>
    </row>
    <row r="33" spans="4:9" x14ac:dyDescent="0.2">
      <c r="D33" s="11"/>
      <c r="H33" s="11"/>
      <c r="I33" s="11"/>
    </row>
    <row r="34" spans="4:9" x14ac:dyDescent="0.2">
      <c r="D34" s="11"/>
      <c r="H34" s="11"/>
      <c r="I34" s="11"/>
    </row>
    <row r="35" spans="4:9" x14ac:dyDescent="0.2">
      <c r="D35" s="11"/>
      <c r="H35" s="11"/>
      <c r="I35" s="11"/>
    </row>
    <row r="36" spans="4:9" x14ac:dyDescent="0.2">
      <c r="D36" s="11"/>
      <c r="H36" s="11"/>
      <c r="I36" s="11"/>
    </row>
    <row r="37" spans="4:9" x14ac:dyDescent="0.2">
      <c r="D37" s="11"/>
      <c r="H37" s="11"/>
      <c r="I37" s="11"/>
    </row>
    <row r="38" spans="4:9" x14ac:dyDescent="0.2">
      <c r="D38" s="11"/>
      <c r="H38" s="11"/>
      <c r="I38" s="11"/>
    </row>
    <row r="39" spans="4:9" x14ac:dyDescent="0.2">
      <c r="D39" s="11"/>
      <c r="H39" s="11"/>
      <c r="I39" s="11"/>
    </row>
    <row r="40" spans="4:9" x14ac:dyDescent="0.2">
      <c r="D40" s="11"/>
      <c r="H40" s="11"/>
      <c r="I40" s="11"/>
    </row>
    <row r="41" spans="4:9" x14ac:dyDescent="0.2">
      <c r="D41" s="11"/>
      <c r="H41" s="11"/>
      <c r="I41" s="11"/>
    </row>
    <row r="42" spans="4:9" x14ac:dyDescent="0.2">
      <c r="D42" s="11"/>
      <c r="H42" s="11"/>
      <c r="I42" s="11"/>
    </row>
    <row r="43" spans="4:9" x14ac:dyDescent="0.2">
      <c r="D43" s="11"/>
      <c r="H43" s="11"/>
      <c r="I43" s="11"/>
    </row>
    <row r="44" spans="4:9" x14ac:dyDescent="0.2">
      <c r="D44" s="11"/>
      <c r="H44" s="11"/>
      <c r="I44" s="11"/>
    </row>
    <row r="45" spans="4:9" x14ac:dyDescent="0.2">
      <c r="D45" s="11"/>
      <c r="H45" s="11"/>
      <c r="I45" s="11"/>
    </row>
    <row r="46" spans="4:9" x14ac:dyDescent="0.2">
      <c r="D46" s="11"/>
      <c r="H46" s="11"/>
      <c r="I46" s="11"/>
    </row>
    <row r="47" spans="4:9" x14ac:dyDescent="0.2">
      <c r="D47" s="11"/>
      <c r="H47" s="11"/>
      <c r="I47" s="11"/>
    </row>
    <row r="48" spans="4:9" x14ac:dyDescent="0.2">
      <c r="D48" s="11"/>
      <c r="H48" s="11"/>
      <c r="I48" s="11"/>
    </row>
    <row r="49" spans="4:9" x14ac:dyDescent="0.2">
      <c r="D49" s="11"/>
      <c r="H49" s="11"/>
      <c r="I49" s="11"/>
    </row>
    <row r="50" spans="4:9" x14ac:dyDescent="0.2">
      <c r="D50" s="11"/>
      <c r="H50" s="11"/>
      <c r="I50" s="11"/>
    </row>
    <row r="51" spans="4:9" x14ac:dyDescent="0.2">
      <c r="D51" s="11"/>
      <c r="H51" s="11"/>
      <c r="I51" s="11"/>
    </row>
    <row r="52" spans="4:9" x14ac:dyDescent="0.2">
      <c r="D52" s="11"/>
      <c r="H52" s="11"/>
      <c r="I52" s="11"/>
    </row>
    <row r="53" spans="4:9" x14ac:dyDescent="0.2">
      <c r="D53" s="11"/>
      <c r="H53" s="11"/>
      <c r="I53" s="11"/>
    </row>
    <row r="54" spans="4:9" x14ac:dyDescent="0.2">
      <c r="D54" s="11"/>
      <c r="H54" s="11"/>
      <c r="I54" s="11"/>
    </row>
    <row r="55" spans="4:9" x14ac:dyDescent="0.2">
      <c r="D55" s="11"/>
      <c r="H55" s="11"/>
      <c r="I55" s="11"/>
    </row>
    <row r="56" spans="4:9" x14ac:dyDescent="0.2">
      <c r="D56" s="11"/>
      <c r="H56" s="11"/>
      <c r="I56" s="11"/>
    </row>
    <row r="57" spans="4:9" x14ac:dyDescent="0.2">
      <c r="D57" s="11"/>
      <c r="H57" s="11"/>
      <c r="I57" s="11"/>
    </row>
    <row r="58" spans="4:9" x14ac:dyDescent="0.2">
      <c r="D58" s="11"/>
      <c r="H58" s="11"/>
      <c r="I58" s="11"/>
    </row>
    <row r="59" spans="4:9" x14ac:dyDescent="0.2">
      <c r="D59" s="11"/>
      <c r="H59" s="11"/>
      <c r="I59" s="11"/>
    </row>
    <row r="60" spans="4:9" x14ac:dyDescent="0.2">
      <c r="D60" s="11"/>
      <c r="H60" s="11"/>
      <c r="I60" s="11"/>
    </row>
    <row r="61" spans="4:9" x14ac:dyDescent="0.2">
      <c r="D61" s="11"/>
      <c r="H61" s="11"/>
      <c r="I61" s="11"/>
    </row>
    <row r="62" spans="4:9" x14ac:dyDescent="0.2">
      <c r="D62" s="11"/>
      <c r="H62" s="11"/>
      <c r="I62" s="11"/>
    </row>
    <row r="63" spans="4:9" x14ac:dyDescent="0.2">
      <c r="D63" s="11"/>
      <c r="H63" s="11"/>
      <c r="I63" s="11"/>
    </row>
    <row r="64" spans="4:9" x14ac:dyDescent="0.2">
      <c r="D64" s="11"/>
      <c r="H64" s="11"/>
      <c r="I64" s="11"/>
    </row>
    <row r="65" spans="4:9" x14ac:dyDescent="0.2">
      <c r="D65" s="11"/>
      <c r="H65" s="11"/>
      <c r="I65" s="11"/>
    </row>
    <row r="66" spans="4:9" x14ac:dyDescent="0.2">
      <c r="D66" s="11"/>
      <c r="H66" s="11"/>
      <c r="I66" s="11"/>
    </row>
    <row r="67" spans="4:9" x14ac:dyDescent="0.2">
      <c r="D67" s="11"/>
      <c r="H67" s="11"/>
      <c r="I67" s="11"/>
    </row>
    <row r="68" spans="4:9" x14ac:dyDescent="0.2">
      <c r="D68" s="11"/>
      <c r="H68" s="11"/>
      <c r="I68" s="11"/>
    </row>
    <row r="69" spans="4:9" x14ac:dyDescent="0.2">
      <c r="D69" s="11"/>
      <c r="H69" s="11"/>
      <c r="I69" s="11"/>
    </row>
    <row r="70" spans="4:9" x14ac:dyDescent="0.2">
      <c r="D70" s="11"/>
      <c r="H70" s="11"/>
      <c r="I70" s="11"/>
    </row>
    <row r="71" spans="4:9" x14ac:dyDescent="0.2">
      <c r="D71" s="11"/>
      <c r="H71" s="11"/>
      <c r="I71" s="11"/>
    </row>
    <row r="72" spans="4:9" x14ac:dyDescent="0.2">
      <c r="D72" s="11"/>
      <c r="H72" s="11"/>
      <c r="I72" s="11"/>
    </row>
    <row r="73" spans="4:9" x14ac:dyDescent="0.2">
      <c r="D73" s="11"/>
      <c r="H73" s="11"/>
      <c r="I73" s="11"/>
    </row>
    <row r="74" spans="4:9" x14ac:dyDescent="0.2">
      <c r="D74" s="11"/>
      <c r="H74" s="11"/>
      <c r="I74" s="11"/>
    </row>
    <row r="75" spans="4:9" x14ac:dyDescent="0.2">
      <c r="D75" s="11"/>
      <c r="H75" s="11"/>
      <c r="I75" s="11"/>
    </row>
    <row r="76" spans="4:9" x14ac:dyDescent="0.2">
      <c r="D76" s="11"/>
      <c r="H76" s="11"/>
      <c r="I76" s="11"/>
    </row>
    <row r="77" spans="4:9" x14ac:dyDescent="0.2">
      <c r="D77" s="11"/>
      <c r="H77" s="11"/>
      <c r="I77" s="11"/>
    </row>
    <row r="78" spans="4:9" x14ac:dyDescent="0.2">
      <c r="D78" s="11"/>
      <c r="H78" s="11"/>
      <c r="I78" s="11"/>
    </row>
    <row r="79" spans="4:9" x14ac:dyDescent="0.2">
      <c r="D79" s="11"/>
      <c r="H79" s="11"/>
      <c r="I79" s="11"/>
    </row>
    <row r="80" spans="4:9" x14ac:dyDescent="0.2">
      <c r="D80" s="11"/>
      <c r="H80" s="11"/>
      <c r="I80" s="11"/>
    </row>
    <row r="81" spans="4:9" x14ac:dyDescent="0.2">
      <c r="D81" s="11"/>
      <c r="H81" s="11"/>
      <c r="I81" s="11"/>
    </row>
    <row r="82" spans="4:9" x14ac:dyDescent="0.2">
      <c r="D82" s="11"/>
      <c r="H82" s="11"/>
      <c r="I82" s="11"/>
    </row>
    <row r="83" spans="4:9" x14ac:dyDescent="0.2">
      <c r="D83" s="11"/>
      <c r="H83" s="11"/>
      <c r="I83" s="11"/>
    </row>
    <row r="84" spans="4:9" x14ac:dyDescent="0.2">
      <c r="D84" s="11"/>
      <c r="H84" s="11"/>
      <c r="I84" s="11"/>
    </row>
    <row r="85" spans="4:9" x14ac:dyDescent="0.2">
      <c r="D85" s="11"/>
      <c r="H85" s="11"/>
      <c r="I85" s="11"/>
    </row>
    <row r="86" spans="4:9" x14ac:dyDescent="0.2">
      <c r="D86" s="11"/>
      <c r="H86" s="11"/>
      <c r="I86" s="11"/>
    </row>
    <row r="87" spans="4:9" x14ac:dyDescent="0.2">
      <c r="D87" s="11"/>
      <c r="H87" s="11"/>
      <c r="I87" s="11"/>
    </row>
    <row r="88" spans="4:9" x14ac:dyDescent="0.2">
      <c r="D88" s="11"/>
      <c r="H88" s="11"/>
      <c r="I88" s="11"/>
    </row>
    <row r="89" spans="4:9" x14ac:dyDescent="0.2">
      <c r="D89" s="11"/>
      <c r="H89" s="11"/>
      <c r="I89" s="11"/>
    </row>
    <row r="90" spans="4:9" x14ac:dyDescent="0.2">
      <c r="D90" s="11"/>
      <c r="H90" s="11"/>
      <c r="I90" s="11"/>
    </row>
    <row r="91" spans="4:9" x14ac:dyDescent="0.2">
      <c r="D91" s="11"/>
      <c r="H91" s="11"/>
      <c r="I91" s="11"/>
    </row>
    <row r="92" spans="4:9" x14ac:dyDescent="0.2">
      <c r="D92" s="11"/>
      <c r="H92" s="11"/>
      <c r="I92" s="11"/>
    </row>
    <row r="93" spans="4:9" x14ac:dyDescent="0.2">
      <c r="D93" s="11"/>
      <c r="H93" s="11"/>
      <c r="I93" s="11"/>
    </row>
    <row r="94" spans="4:9" x14ac:dyDescent="0.2">
      <c r="D94" s="11"/>
      <c r="H94" s="11"/>
      <c r="I94" s="11"/>
    </row>
    <row r="95" spans="4:9" x14ac:dyDescent="0.2">
      <c r="D95" s="11"/>
      <c r="H95" s="11"/>
      <c r="I95" s="11"/>
    </row>
  </sheetData>
  <pageMargins left="0.70866141732283472" right="0.70866141732283472" top="0.74803149606299213" bottom="0.74803149606299213" header="0.31496062992125984" footer="0.31496062992125984"/>
  <pageSetup paperSize="9" orientation="portrait" r:id="rId1"/>
  <headerFooter>
    <oddHeader>&amp;R&amp;G</oddHeader>
    <oddFooter>&amp;L&amp;9Concept jaarrekening 2021&amp;C&amp;9Versie: 23-2-2022&amp;R&amp;9- &amp;P -</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7">
    <tabColor rgb="FF92D050"/>
  </sheetPr>
  <dimension ref="A1:G45"/>
  <sheetViews>
    <sheetView workbookViewId="0">
      <selection activeCell="A45" sqref="A45"/>
    </sheetView>
  </sheetViews>
  <sheetFormatPr defaultRowHeight="12.75" x14ac:dyDescent="0.2"/>
  <cols>
    <col min="6" max="6" width="9.140625" bestFit="1" customWidth="1"/>
  </cols>
  <sheetData>
    <row r="1" spans="1:7" ht="18" x14ac:dyDescent="0.25">
      <c r="A1" s="9" t="s">
        <v>624</v>
      </c>
    </row>
    <row r="3" spans="1:7" x14ac:dyDescent="0.2">
      <c r="A3" s="1" t="s">
        <v>625</v>
      </c>
    </row>
    <row r="4" spans="1:7" x14ac:dyDescent="0.2">
      <c r="A4" t="s">
        <v>643</v>
      </c>
    </row>
    <row r="5" spans="1:7" x14ac:dyDescent="0.2">
      <c r="A5" t="str">
        <f>"hebben we de jaarrekening over het jaar "&amp;verslagjaar&amp;" gecontroleerd."</f>
        <v>hebben we de jaarrekening over het jaar 2022 gecontroleerd.</v>
      </c>
    </row>
    <row r="7" spans="1:7" x14ac:dyDescent="0.2">
      <c r="A7" t="s">
        <v>644</v>
      </c>
    </row>
    <row r="9" spans="1:7" x14ac:dyDescent="0.2">
      <c r="A9" t="s">
        <v>626</v>
      </c>
    </row>
    <row r="10" spans="1:7" x14ac:dyDescent="0.2">
      <c r="A10" t="s">
        <v>99</v>
      </c>
      <c r="F10" s="11">
        <f>'Staat van baten en lasten'!C16</f>
        <v>0</v>
      </c>
    </row>
    <row r="11" spans="1:7" x14ac:dyDescent="0.2">
      <c r="A11" t="s">
        <v>100</v>
      </c>
      <c r="F11" s="11">
        <f>'Staat van baten en lasten'!C33</f>
        <v>0</v>
      </c>
      <c r="G11" s="27" t="s">
        <v>645</v>
      </c>
    </row>
    <row r="12" spans="1:7" x14ac:dyDescent="0.2">
      <c r="A12" t="s">
        <v>627</v>
      </c>
      <c r="F12" s="18">
        <f>F10-F11</f>
        <v>0</v>
      </c>
    </row>
    <row r="13" spans="1:7" x14ac:dyDescent="0.2">
      <c r="A13" t="str">
        <f>IF(F13&gt;=0,"Toevoegingen","Ontrekkingen")&amp;" (bestemmings)reserves"</f>
        <v>Toevoegingen (bestemmings)reserves</v>
      </c>
      <c r="F13" s="11">
        <f>'Staat van baten en lasten'!C51</f>
        <v>0</v>
      </c>
    </row>
    <row r="14" spans="1:7" x14ac:dyDescent="0.2">
      <c r="A14" t="s">
        <v>103</v>
      </c>
      <c r="F14" s="18">
        <f>F13</f>
        <v>0</v>
      </c>
    </row>
    <row r="16" spans="1:7" x14ac:dyDescent="0.2">
      <c r="A16" t="s">
        <v>628</v>
      </c>
      <c r="F16" s="18">
        <f>Balans!D56</f>
        <v>0</v>
      </c>
    </row>
    <row r="18" spans="1:1" x14ac:dyDescent="0.2">
      <c r="A18" s="1" t="s">
        <v>629</v>
      </c>
    </row>
    <row r="19" spans="1:1" x14ac:dyDescent="0.2">
      <c r="A19" t="s">
        <v>630</v>
      </c>
    </row>
    <row r="20" spans="1:1" x14ac:dyDescent="0.2">
      <c r="A20" t="s">
        <v>631</v>
      </c>
    </row>
    <row r="21" spans="1:1" x14ac:dyDescent="0.2">
      <c r="A21" t="s">
        <v>632</v>
      </c>
    </row>
    <row r="22" spans="1:1" x14ac:dyDescent="0.2">
      <c r="A22" t="s">
        <v>633</v>
      </c>
    </row>
    <row r="27" spans="1:1" x14ac:dyDescent="0.2">
      <c r="A27" s="1" t="s">
        <v>634</v>
      </c>
    </row>
    <row r="28" spans="1:1" x14ac:dyDescent="0.2">
      <c r="A28" t="s">
        <v>635</v>
      </c>
    </row>
    <row r="29" spans="1:1" x14ac:dyDescent="0.2">
      <c r="A29" t="str">
        <f>"hebbende op de exploitatie over "&amp;verslagjaar&amp;", te hebben gecontroleerd "</f>
        <v xml:space="preserve">hebbende op de exploitatie over 2022, te hebben gecontroleerd </v>
      </c>
    </row>
    <row r="30" spans="1:1" x14ac:dyDescent="0.2">
      <c r="A30" t="s">
        <v>636</v>
      </c>
    </row>
    <row r="33" spans="1:6" x14ac:dyDescent="0.2">
      <c r="A33" t="s">
        <v>637</v>
      </c>
    </row>
    <row r="36" spans="1:6" x14ac:dyDescent="0.2">
      <c r="A36" t="s">
        <v>638</v>
      </c>
    </row>
    <row r="38" spans="1:6" x14ac:dyDescent="0.2">
      <c r="A38" t="s">
        <v>639</v>
      </c>
    </row>
    <row r="39" spans="1:6" x14ac:dyDescent="0.2">
      <c r="A39" t="s">
        <v>640</v>
      </c>
    </row>
    <row r="40" spans="1:6" x14ac:dyDescent="0.2">
      <c r="A40" t="s">
        <v>641</v>
      </c>
    </row>
    <row r="41" spans="1:6" x14ac:dyDescent="0.2">
      <c r="F41" t="s">
        <v>642</v>
      </c>
    </row>
    <row r="42" spans="1:6" x14ac:dyDescent="0.2">
      <c r="A42" t="s">
        <v>639</v>
      </c>
    </row>
    <row r="43" spans="1:6" x14ac:dyDescent="0.2">
      <c r="A43" t="s">
        <v>640</v>
      </c>
    </row>
    <row r="44" spans="1:6" x14ac:dyDescent="0.2">
      <c r="A44" t="s">
        <v>641</v>
      </c>
    </row>
    <row r="45" spans="1:6" x14ac:dyDescent="0.2">
      <c r="F45" t="s">
        <v>642</v>
      </c>
    </row>
  </sheetData>
  <pageMargins left="0.70866141732283472" right="0.70866141732283472" top="0.74803149606299213" bottom="0.74803149606299213" header="0.31496062992125984" footer="0.31496062992125984"/>
  <pageSetup paperSize="9" orientation="portrait" r:id="rId1"/>
  <headerFooter>
    <oddHeader>&amp;R&amp;G</oddHeader>
    <oddFooter>&amp;L&amp;9Concept jaarrekening 2021&amp;C&amp;9Versie: 23-2-2022&amp;R&amp;9- &amp;P -</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9">
    <tabColor rgb="FF7B003B"/>
  </sheetPr>
  <dimension ref="A1:M130"/>
  <sheetViews>
    <sheetView topLeftCell="A9" workbookViewId="0">
      <selection activeCell="C19" sqref="C19"/>
    </sheetView>
  </sheetViews>
  <sheetFormatPr defaultRowHeight="12.75" x14ac:dyDescent="0.2"/>
  <cols>
    <col min="2" max="2" width="45.85546875" bestFit="1" customWidth="1"/>
    <col min="3" max="3" width="16.7109375" customWidth="1"/>
    <col min="4" max="4" width="15.7109375" customWidth="1"/>
    <col min="5" max="5" width="16.7109375" customWidth="1"/>
    <col min="6" max="6" width="16.5703125" customWidth="1"/>
    <col min="7" max="7" width="15.7109375" customWidth="1"/>
    <col min="8" max="8" width="12.28515625" bestFit="1" customWidth="1"/>
    <col min="9" max="9" width="10.140625" bestFit="1" customWidth="1"/>
    <col min="10" max="10" width="21.28515625" customWidth="1"/>
    <col min="12" max="12" width="21.42578125" customWidth="1"/>
    <col min="13" max="13" width="18.28515625" customWidth="1"/>
  </cols>
  <sheetData>
    <row r="1" spans="1:13" ht="15.75" x14ac:dyDescent="0.25">
      <c r="A1" s="2" t="s">
        <v>86</v>
      </c>
    </row>
    <row r="3" spans="1:13" x14ac:dyDescent="0.2">
      <c r="A3" s="26" t="s">
        <v>205</v>
      </c>
      <c r="B3" s="26" t="s">
        <v>206</v>
      </c>
      <c r="C3" s="58" t="s">
        <v>207</v>
      </c>
      <c r="D3" s="26" t="s">
        <v>208</v>
      </c>
      <c r="E3" s="26" t="s">
        <v>209</v>
      </c>
      <c r="F3" s="26" t="s">
        <v>210</v>
      </c>
      <c r="G3" s="58" t="s">
        <v>211</v>
      </c>
      <c r="H3" s="26" t="s">
        <v>212</v>
      </c>
      <c r="I3" s="26" t="s">
        <v>93</v>
      </c>
      <c r="J3" s="26" t="s">
        <v>213</v>
      </c>
      <c r="K3" s="26" t="s">
        <v>214</v>
      </c>
      <c r="L3" s="26" t="s">
        <v>38</v>
      </c>
      <c r="M3" s="26" t="s">
        <v>215</v>
      </c>
    </row>
    <row r="4" spans="1:13" x14ac:dyDescent="0.2">
      <c r="A4" t="s">
        <v>216</v>
      </c>
      <c r="B4" t="s">
        <v>135</v>
      </c>
      <c r="C4" s="57"/>
      <c r="D4" s="6"/>
      <c r="E4" s="57"/>
      <c r="G4" s="56"/>
      <c r="I4" s="6" t="s">
        <v>217</v>
      </c>
      <c r="J4" s="6" t="s">
        <v>84</v>
      </c>
      <c r="K4" s="6" t="s">
        <v>218</v>
      </c>
      <c r="L4" s="6" t="s">
        <v>185</v>
      </c>
      <c r="M4" s="6"/>
    </row>
    <row r="5" spans="1:13" x14ac:dyDescent="0.2">
      <c r="A5" t="s">
        <v>219</v>
      </c>
      <c r="B5" t="s">
        <v>220</v>
      </c>
      <c r="C5" s="57"/>
      <c r="D5" s="6"/>
      <c r="E5" s="57"/>
      <c r="G5" s="56"/>
      <c r="I5" s="6" t="s">
        <v>217</v>
      </c>
      <c r="J5" s="6" t="s">
        <v>84</v>
      </c>
      <c r="K5" s="6" t="s">
        <v>218</v>
      </c>
      <c r="L5" s="6" t="s">
        <v>185</v>
      </c>
      <c r="M5" s="6"/>
    </row>
    <row r="6" spans="1:13" x14ac:dyDescent="0.2">
      <c r="A6" t="s">
        <v>221</v>
      </c>
      <c r="B6" t="s">
        <v>222</v>
      </c>
      <c r="C6" s="57"/>
      <c r="D6" s="6"/>
      <c r="E6" s="57"/>
      <c r="G6" s="56"/>
      <c r="I6" s="6" t="s">
        <v>217</v>
      </c>
      <c r="J6" s="6" t="s">
        <v>84</v>
      </c>
      <c r="K6" s="6" t="s">
        <v>218</v>
      </c>
      <c r="L6" s="6" t="s">
        <v>185</v>
      </c>
      <c r="M6" s="6"/>
    </row>
    <row r="7" spans="1:13" x14ac:dyDescent="0.2">
      <c r="A7" t="s">
        <v>223</v>
      </c>
      <c r="B7" t="s">
        <v>132</v>
      </c>
      <c r="C7" s="57"/>
      <c r="D7" s="6"/>
      <c r="E7" s="57"/>
      <c r="G7" s="56"/>
      <c r="I7" s="6" t="s">
        <v>217</v>
      </c>
      <c r="J7" s="6" t="s">
        <v>84</v>
      </c>
      <c r="K7" s="6" t="s">
        <v>218</v>
      </c>
      <c r="L7" s="6" t="s">
        <v>185</v>
      </c>
      <c r="M7" s="6"/>
    </row>
    <row r="8" spans="1:13" x14ac:dyDescent="0.2">
      <c r="A8" t="s">
        <v>224</v>
      </c>
      <c r="B8" t="s">
        <v>133</v>
      </c>
      <c r="C8" s="57"/>
      <c r="D8" s="6"/>
      <c r="E8" s="57"/>
      <c r="G8" s="56"/>
      <c r="I8" s="6" t="s">
        <v>217</v>
      </c>
      <c r="J8" s="6" t="s">
        <v>84</v>
      </c>
      <c r="K8" s="6" t="s">
        <v>218</v>
      </c>
      <c r="L8" s="6" t="s">
        <v>185</v>
      </c>
      <c r="M8" s="6"/>
    </row>
    <row r="9" spans="1:13" x14ac:dyDescent="0.2">
      <c r="A9" t="s">
        <v>225</v>
      </c>
      <c r="B9" t="s">
        <v>136</v>
      </c>
      <c r="C9" s="57"/>
      <c r="D9" s="6"/>
      <c r="E9" s="57"/>
      <c r="G9" s="56"/>
      <c r="H9" s="6"/>
      <c r="I9" s="6" t="s">
        <v>217</v>
      </c>
      <c r="J9" s="6" t="s">
        <v>84</v>
      </c>
      <c r="K9" s="6" t="s">
        <v>218</v>
      </c>
      <c r="L9" s="6" t="s">
        <v>185</v>
      </c>
      <c r="M9" s="6"/>
    </row>
    <row r="10" spans="1:13" x14ac:dyDescent="0.2">
      <c r="A10" t="s">
        <v>226</v>
      </c>
      <c r="B10" t="s">
        <v>137</v>
      </c>
      <c r="C10" s="57"/>
      <c r="D10" s="6"/>
      <c r="E10" s="57"/>
      <c r="G10" s="56"/>
      <c r="I10" s="6" t="s">
        <v>217</v>
      </c>
      <c r="J10" s="6" t="s">
        <v>84</v>
      </c>
      <c r="K10" s="6" t="s">
        <v>218</v>
      </c>
      <c r="L10" s="6" t="s">
        <v>185</v>
      </c>
      <c r="M10" s="6"/>
    </row>
    <row r="11" spans="1:13" x14ac:dyDescent="0.2">
      <c r="A11" t="s">
        <v>227</v>
      </c>
      <c r="B11" t="s">
        <v>138</v>
      </c>
      <c r="C11" s="57"/>
      <c r="D11" s="6"/>
      <c r="E11" s="57"/>
      <c r="G11" s="56"/>
      <c r="I11" s="6" t="s">
        <v>217</v>
      </c>
      <c r="J11" s="6" t="s">
        <v>84</v>
      </c>
      <c r="K11" s="6" t="s">
        <v>218</v>
      </c>
      <c r="L11" s="6" t="s">
        <v>185</v>
      </c>
      <c r="M11" s="6"/>
    </row>
    <row r="12" spans="1:13" x14ac:dyDescent="0.2">
      <c r="A12" t="s">
        <v>228</v>
      </c>
      <c r="B12" t="s">
        <v>8</v>
      </c>
      <c r="C12" s="57"/>
      <c r="D12" s="6"/>
      <c r="E12" s="57"/>
      <c r="G12" s="56"/>
      <c r="I12" s="6" t="s">
        <v>217</v>
      </c>
      <c r="J12" s="6" t="s">
        <v>84</v>
      </c>
      <c r="K12" s="6" t="s">
        <v>218</v>
      </c>
      <c r="L12" s="6" t="s">
        <v>185</v>
      </c>
      <c r="M12" s="6"/>
    </row>
    <row r="13" spans="1:13" x14ac:dyDescent="0.2">
      <c r="A13" t="s">
        <v>229</v>
      </c>
      <c r="B13" t="s">
        <v>230</v>
      </c>
      <c r="C13" s="57"/>
      <c r="D13" s="6"/>
      <c r="E13" s="57"/>
      <c r="G13" s="56"/>
      <c r="H13" s="6"/>
      <c r="I13" s="6" t="s">
        <v>217</v>
      </c>
      <c r="J13" s="6" t="s">
        <v>84</v>
      </c>
      <c r="K13" s="6" t="s">
        <v>231</v>
      </c>
      <c r="L13" s="6" t="s">
        <v>232</v>
      </c>
      <c r="M13" s="6"/>
    </row>
    <row r="14" spans="1:13" x14ac:dyDescent="0.2">
      <c r="A14" t="s">
        <v>233</v>
      </c>
      <c r="B14" t="s">
        <v>234</v>
      </c>
      <c r="C14" s="57"/>
      <c r="D14" s="6"/>
      <c r="E14" s="57"/>
      <c r="G14" s="56"/>
      <c r="I14" s="6" t="s">
        <v>217</v>
      </c>
      <c r="J14" s="6" t="s">
        <v>84</v>
      </c>
      <c r="K14" s="6" t="s">
        <v>231</v>
      </c>
      <c r="L14" s="6" t="s">
        <v>232</v>
      </c>
      <c r="M14" s="6"/>
    </row>
    <row r="15" spans="1:13" x14ac:dyDescent="0.2">
      <c r="A15" t="s">
        <v>235</v>
      </c>
      <c r="B15" t="s">
        <v>236</v>
      </c>
      <c r="C15" s="57"/>
      <c r="D15" s="6"/>
      <c r="E15" s="57"/>
      <c r="G15" s="56"/>
      <c r="H15" s="6"/>
      <c r="I15" s="6" t="s">
        <v>217</v>
      </c>
      <c r="J15" s="6" t="s">
        <v>84</v>
      </c>
      <c r="K15" s="6" t="s">
        <v>231</v>
      </c>
      <c r="L15" s="6" t="s">
        <v>232</v>
      </c>
      <c r="M15" s="6"/>
    </row>
    <row r="16" spans="1:13" x14ac:dyDescent="0.2">
      <c r="A16" t="s">
        <v>237</v>
      </c>
      <c r="B16" t="s">
        <v>238</v>
      </c>
      <c r="C16" s="57"/>
      <c r="D16" s="6"/>
      <c r="E16" s="57"/>
      <c r="G16" s="56"/>
      <c r="I16" s="6" t="s">
        <v>217</v>
      </c>
      <c r="J16" s="6" t="s">
        <v>84</v>
      </c>
      <c r="K16" s="6" t="s">
        <v>231</v>
      </c>
      <c r="L16" s="6" t="s">
        <v>232</v>
      </c>
      <c r="M16" s="6"/>
    </row>
    <row r="17" spans="1:13" x14ac:dyDescent="0.2">
      <c r="A17" t="s">
        <v>239</v>
      </c>
      <c r="B17" t="s">
        <v>9</v>
      </c>
      <c r="C17" s="57"/>
      <c r="D17" s="6"/>
      <c r="E17" s="57"/>
      <c r="G17" s="56"/>
      <c r="I17" s="6" t="s">
        <v>240</v>
      </c>
      <c r="J17" s="6" t="s">
        <v>109</v>
      </c>
      <c r="K17" s="6" t="s">
        <v>241</v>
      </c>
      <c r="L17" s="6" t="s">
        <v>109</v>
      </c>
      <c r="M17" s="6"/>
    </row>
    <row r="18" spans="1:13" x14ac:dyDescent="0.2">
      <c r="A18" t="s">
        <v>242</v>
      </c>
      <c r="B18" t="s">
        <v>243</v>
      </c>
      <c r="C18" s="57"/>
      <c r="E18" s="57"/>
      <c r="G18" s="56"/>
      <c r="I18" s="6" t="s">
        <v>240</v>
      </c>
      <c r="J18" s="6" t="s">
        <v>109</v>
      </c>
      <c r="K18" s="6" t="s">
        <v>241</v>
      </c>
      <c r="L18" s="6" t="s">
        <v>109</v>
      </c>
      <c r="M18" s="6"/>
    </row>
    <row r="19" spans="1:13" x14ac:dyDescent="0.2">
      <c r="A19" t="s">
        <v>244</v>
      </c>
      <c r="B19" t="s">
        <v>10</v>
      </c>
      <c r="C19" s="57"/>
      <c r="E19" s="57"/>
      <c r="G19" s="56"/>
      <c r="I19" s="6" t="s">
        <v>240</v>
      </c>
      <c r="J19" s="6" t="s">
        <v>109</v>
      </c>
      <c r="K19" s="6" t="s">
        <v>241</v>
      </c>
      <c r="L19" s="6" t="s">
        <v>109</v>
      </c>
      <c r="M19" s="6"/>
    </row>
    <row r="20" spans="1:13" x14ac:dyDescent="0.2">
      <c r="A20" t="s">
        <v>245</v>
      </c>
      <c r="B20" t="s">
        <v>127</v>
      </c>
      <c r="C20" s="57"/>
      <c r="E20" s="57"/>
      <c r="G20" s="56"/>
      <c r="I20" s="6" t="s">
        <v>240</v>
      </c>
      <c r="J20" s="6" t="s">
        <v>109</v>
      </c>
      <c r="K20" s="6" t="s">
        <v>241</v>
      </c>
      <c r="L20" s="6" t="s">
        <v>109</v>
      </c>
      <c r="M20" s="6"/>
    </row>
    <row r="21" spans="1:13" x14ac:dyDescent="0.2">
      <c r="A21" t="s">
        <v>246</v>
      </c>
      <c r="B21" t="s">
        <v>130</v>
      </c>
      <c r="C21" s="56"/>
      <c r="D21" s="6"/>
      <c r="E21" s="56"/>
      <c r="G21" s="56"/>
      <c r="I21" s="6" t="s">
        <v>240</v>
      </c>
      <c r="J21" s="6" t="s">
        <v>109</v>
      </c>
      <c r="K21" s="6" t="s">
        <v>241</v>
      </c>
      <c r="L21" s="6" t="s">
        <v>109</v>
      </c>
      <c r="M21" s="6"/>
    </row>
    <row r="22" spans="1:13" x14ac:dyDescent="0.2">
      <c r="A22" t="s">
        <v>247</v>
      </c>
      <c r="B22" t="s">
        <v>42</v>
      </c>
      <c r="C22" s="57"/>
      <c r="D22" s="6"/>
      <c r="E22" s="57"/>
      <c r="G22" s="56"/>
      <c r="I22" s="6" t="s">
        <v>240</v>
      </c>
      <c r="J22" s="6" t="s">
        <v>109</v>
      </c>
      <c r="K22" s="6" t="s">
        <v>241</v>
      </c>
      <c r="L22" s="6" t="s">
        <v>109</v>
      </c>
      <c r="M22" s="6"/>
    </row>
    <row r="23" spans="1:13" x14ac:dyDescent="0.2">
      <c r="A23" t="s">
        <v>248</v>
      </c>
      <c r="B23" t="s">
        <v>11</v>
      </c>
      <c r="C23" s="57"/>
      <c r="D23" s="6"/>
      <c r="E23" s="57"/>
      <c r="G23" s="56"/>
      <c r="I23" s="6" t="s">
        <v>240</v>
      </c>
      <c r="J23" s="6" t="s">
        <v>109</v>
      </c>
      <c r="K23" s="6" t="s">
        <v>241</v>
      </c>
      <c r="L23" s="6" t="s">
        <v>109</v>
      </c>
      <c r="M23" s="6"/>
    </row>
    <row r="24" spans="1:13" x14ac:dyDescent="0.2">
      <c r="A24" t="s">
        <v>249</v>
      </c>
      <c r="B24" t="s">
        <v>650</v>
      </c>
      <c r="C24" s="57"/>
      <c r="D24" s="6"/>
      <c r="E24" s="57"/>
      <c r="G24" s="56"/>
      <c r="I24" s="6" t="s">
        <v>250</v>
      </c>
      <c r="J24" s="6" t="s">
        <v>85</v>
      </c>
      <c r="K24" s="6" t="s">
        <v>251</v>
      </c>
      <c r="L24" s="6" t="s">
        <v>85</v>
      </c>
      <c r="M24" s="6"/>
    </row>
    <row r="25" spans="1:13" x14ac:dyDescent="0.2">
      <c r="A25" t="s">
        <v>252</v>
      </c>
      <c r="B25" t="s">
        <v>651</v>
      </c>
      <c r="C25" s="57"/>
      <c r="D25" s="6"/>
      <c r="E25" s="57"/>
      <c r="G25" s="56"/>
      <c r="I25" s="6" t="s">
        <v>250</v>
      </c>
      <c r="J25" s="6" t="s">
        <v>85</v>
      </c>
      <c r="K25" s="6" t="s">
        <v>251</v>
      </c>
      <c r="L25" s="6" t="s">
        <v>85</v>
      </c>
      <c r="M25" s="6"/>
    </row>
    <row r="26" spans="1:13" x14ac:dyDescent="0.2">
      <c r="A26" t="s">
        <v>253</v>
      </c>
      <c r="B26" t="s">
        <v>652</v>
      </c>
      <c r="C26" s="57"/>
      <c r="D26" s="6"/>
      <c r="E26" s="57"/>
      <c r="G26" s="56"/>
      <c r="I26" s="6" t="s">
        <v>250</v>
      </c>
      <c r="J26" s="6" t="s">
        <v>85</v>
      </c>
      <c r="K26" s="6" t="s">
        <v>251</v>
      </c>
      <c r="L26" s="6" t="s">
        <v>85</v>
      </c>
      <c r="M26" s="6"/>
    </row>
    <row r="27" spans="1:13" x14ac:dyDescent="0.2">
      <c r="A27" t="s">
        <v>254</v>
      </c>
      <c r="B27" t="s">
        <v>255</v>
      </c>
      <c r="C27" s="57"/>
      <c r="D27" s="6"/>
      <c r="E27" s="57"/>
      <c r="G27" s="56"/>
      <c r="I27" s="6" t="s">
        <v>256</v>
      </c>
      <c r="J27" s="6" t="s">
        <v>94</v>
      </c>
      <c r="K27" s="6" t="s">
        <v>257</v>
      </c>
      <c r="L27" s="6" t="s">
        <v>94</v>
      </c>
      <c r="M27" s="6"/>
    </row>
    <row r="28" spans="1:13" x14ac:dyDescent="0.2">
      <c r="A28" t="s">
        <v>258</v>
      </c>
      <c r="B28" t="s">
        <v>259</v>
      </c>
      <c r="C28" s="57"/>
      <c r="D28" s="6"/>
      <c r="E28" s="57"/>
      <c r="G28" s="56"/>
      <c r="I28" s="6" t="s">
        <v>260</v>
      </c>
      <c r="J28" s="6" t="s">
        <v>261</v>
      </c>
      <c r="K28" s="6" t="s">
        <v>262</v>
      </c>
      <c r="L28" s="6" t="s">
        <v>261</v>
      </c>
      <c r="M28" s="6"/>
    </row>
    <row r="29" spans="1:13" x14ac:dyDescent="0.2">
      <c r="A29" t="s">
        <v>263</v>
      </c>
      <c r="B29" t="s">
        <v>264</v>
      </c>
      <c r="C29" s="57"/>
      <c r="D29" s="6"/>
      <c r="E29" s="57"/>
      <c r="G29" s="56"/>
      <c r="I29" s="6" t="s">
        <v>260</v>
      </c>
      <c r="J29" s="6" t="s">
        <v>261</v>
      </c>
      <c r="K29" s="6" t="s">
        <v>262</v>
      </c>
      <c r="L29" s="6" t="s">
        <v>261</v>
      </c>
      <c r="M29" s="6"/>
    </row>
    <row r="30" spans="1:13" x14ac:dyDescent="0.2">
      <c r="A30" t="s">
        <v>265</v>
      </c>
      <c r="B30" t="s">
        <v>266</v>
      </c>
      <c r="C30" s="56"/>
      <c r="D30" s="6"/>
      <c r="E30" s="56"/>
      <c r="G30" s="56"/>
      <c r="I30" s="6" t="s">
        <v>267</v>
      </c>
      <c r="J30" s="6" t="s">
        <v>268</v>
      </c>
      <c r="K30" s="6" t="s">
        <v>269</v>
      </c>
      <c r="L30" s="6" t="s">
        <v>268</v>
      </c>
      <c r="M30" s="6"/>
    </row>
    <row r="31" spans="1:13" x14ac:dyDescent="0.2">
      <c r="A31" t="s">
        <v>270</v>
      </c>
      <c r="B31" t="s">
        <v>271</v>
      </c>
      <c r="C31" s="57"/>
      <c r="D31" s="6"/>
      <c r="E31" s="57"/>
      <c r="G31" s="56"/>
      <c r="I31" s="6" t="s">
        <v>267</v>
      </c>
      <c r="J31" s="6" t="s">
        <v>268</v>
      </c>
      <c r="K31" s="6" t="s">
        <v>269</v>
      </c>
      <c r="L31" s="6" t="s">
        <v>268</v>
      </c>
      <c r="M31" s="6"/>
    </row>
    <row r="32" spans="1:13" x14ac:dyDescent="0.2">
      <c r="A32" t="s">
        <v>272</v>
      </c>
      <c r="B32" t="s">
        <v>273</v>
      </c>
      <c r="C32" s="57"/>
      <c r="D32" s="6"/>
      <c r="E32" s="57"/>
      <c r="G32" s="56"/>
      <c r="I32" s="6" t="s">
        <v>267</v>
      </c>
      <c r="J32" s="6" t="s">
        <v>268</v>
      </c>
      <c r="K32" s="6" t="s">
        <v>269</v>
      </c>
      <c r="L32" s="6" t="s">
        <v>268</v>
      </c>
      <c r="M32" s="6"/>
    </row>
    <row r="33" spans="1:13" x14ac:dyDescent="0.2">
      <c r="A33" t="s">
        <v>274</v>
      </c>
      <c r="B33" t="s">
        <v>13</v>
      </c>
      <c r="C33" s="56"/>
      <c r="D33" s="6"/>
      <c r="E33" s="56"/>
      <c r="G33" s="56"/>
      <c r="I33" s="6" t="s">
        <v>267</v>
      </c>
      <c r="J33" s="6" t="s">
        <v>268</v>
      </c>
      <c r="K33" s="6" t="s">
        <v>269</v>
      </c>
      <c r="L33" s="6" t="s">
        <v>268</v>
      </c>
      <c r="M33" s="6"/>
    </row>
    <row r="34" spans="1:13" x14ac:dyDescent="0.2">
      <c r="A34" t="s">
        <v>275</v>
      </c>
      <c r="B34" t="s">
        <v>276</v>
      </c>
      <c r="C34" s="57"/>
      <c r="D34" s="6"/>
      <c r="E34" s="57"/>
      <c r="G34" s="56"/>
      <c r="I34" s="6" t="s">
        <v>267</v>
      </c>
      <c r="J34" s="6" t="s">
        <v>268</v>
      </c>
      <c r="K34" s="6" t="s">
        <v>269</v>
      </c>
      <c r="L34" s="6" t="s">
        <v>268</v>
      </c>
      <c r="M34" s="6"/>
    </row>
    <row r="35" spans="1:13" x14ac:dyDescent="0.2">
      <c r="A35" t="s">
        <v>277</v>
      </c>
      <c r="B35" t="s">
        <v>15</v>
      </c>
      <c r="C35" s="57"/>
      <c r="E35" s="57"/>
      <c r="G35" s="56"/>
      <c r="I35" s="6" t="s">
        <v>267</v>
      </c>
      <c r="J35" s="6" t="s">
        <v>268</v>
      </c>
      <c r="K35" s="6" t="s">
        <v>269</v>
      </c>
      <c r="L35" s="6" t="s">
        <v>268</v>
      </c>
      <c r="M35" s="6"/>
    </row>
    <row r="36" spans="1:13" x14ac:dyDescent="0.2">
      <c r="A36" t="s">
        <v>278</v>
      </c>
      <c r="B36" t="s">
        <v>12</v>
      </c>
      <c r="C36" s="57"/>
      <c r="D36" s="6"/>
      <c r="E36" s="57"/>
      <c r="G36" s="56"/>
      <c r="I36" s="6" t="s">
        <v>267</v>
      </c>
      <c r="J36" s="6" t="s">
        <v>268</v>
      </c>
      <c r="K36" s="6" t="s">
        <v>269</v>
      </c>
      <c r="L36" s="6" t="s">
        <v>268</v>
      </c>
      <c r="M36" s="6"/>
    </row>
    <row r="37" spans="1:13" x14ac:dyDescent="0.2">
      <c r="A37" t="s">
        <v>279</v>
      </c>
      <c r="B37" t="s">
        <v>280</v>
      </c>
      <c r="C37" s="56"/>
      <c r="D37" s="6"/>
      <c r="E37" s="56"/>
      <c r="G37" s="56"/>
      <c r="I37" s="6" t="s">
        <v>267</v>
      </c>
      <c r="J37" s="6" t="s">
        <v>268</v>
      </c>
      <c r="K37" s="6" t="s">
        <v>269</v>
      </c>
      <c r="L37" s="6" t="s">
        <v>268</v>
      </c>
      <c r="M37" s="6"/>
    </row>
    <row r="38" spans="1:13" x14ac:dyDescent="0.2">
      <c r="A38" t="s">
        <v>281</v>
      </c>
      <c r="B38" t="s">
        <v>653</v>
      </c>
      <c r="C38" s="57"/>
      <c r="E38" s="57"/>
      <c r="G38" s="56"/>
      <c r="I38" s="6" t="s">
        <v>267</v>
      </c>
      <c r="J38" s="6" t="s">
        <v>268</v>
      </c>
      <c r="K38" s="6" t="s">
        <v>269</v>
      </c>
      <c r="L38" s="6" t="s">
        <v>268</v>
      </c>
      <c r="M38" s="6"/>
    </row>
    <row r="39" spans="1:13" x14ac:dyDescent="0.2">
      <c r="A39" t="s">
        <v>282</v>
      </c>
      <c r="B39" t="s">
        <v>654</v>
      </c>
      <c r="C39" s="57"/>
      <c r="E39" s="57"/>
      <c r="G39" s="56"/>
      <c r="I39" s="6" t="s">
        <v>267</v>
      </c>
      <c r="J39" s="6" t="s">
        <v>268</v>
      </c>
      <c r="K39" s="6" t="s">
        <v>269</v>
      </c>
      <c r="L39" s="6" t="s">
        <v>268</v>
      </c>
      <c r="M39" s="6"/>
    </row>
    <row r="40" spans="1:13" x14ac:dyDescent="0.2">
      <c r="A40" t="s">
        <v>283</v>
      </c>
      <c r="B40" t="s">
        <v>14</v>
      </c>
      <c r="C40" s="57"/>
      <c r="D40" s="6"/>
      <c r="E40" s="57"/>
      <c r="G40" s="56"/>
      <c r="I40" s="6" t="s">
        <v>267</v>
      </c>
      <c r="J40" s="6" t="s">
        <v>268</v>
      </c>
      <c r="K40" s="6" t="s">
        <v>269</v>
      </c>
      <c r="L40" s="6" t="s">
        <v>268</v>
      </c>
      <c r="M40" s="6"/>
    </row>
    <row r="41" spans="1:13" x14ac:dyDescent="0.2">
      <c r="A41" t="s">
        <v>284</v>
      </c>
      <c r="B41" t="s">
        <v>21</v>
      </c>
      <c r="C41" s="56"/>
      <c r="E41" s="56"/>
      <c r="F41" s="6"/>
      <c r="G41" s="57"/>
      <c r="H41" s="6"/>
      <c r="I41" s="6" t="s">
        <v>285</v>
      </c>
      <c r="J41" s="6" t="s">
        <v>286</v>
      </c>
      <c r="K41" s="6" t="s">
        <v>287</v>
      </c>
      <c r="L41" s="6" t="s">
        <v>288</v>
      </c>
      <c r="M41" s="6" t="s">
        <v>217</v>
      </c>
    </row>
    <row r="42" spans="1:13" x14ac:dyDescent="0.2">
      <c r="A42" t="s">
        <v>289</v>
      </c>
      <c r="B42" t="s">
        <v>129</v>
      </c>
      <c r="C42" s="56"/>
      <c r="E42" s="56"/>
      <c r="F42" s="6"/>
      <c r="G42" s="57"/>
      <c r="I42" s="6" t="s">
        <v>285</v>
      </c>
      <c r="J42" s="6" t="s">
        <v>286</v>
      </c>
      <c r="K42" s="6" t="s">
        <v>287</v>
      </c>
      <c r="L42" s="6" t="s">
        <v>288</v>
      </c>
      <c r="M42" s="6" t="s">
        <v>217</v>
      </c>
    </row>
    <row r="43" spans="1:13" x14ac:dyDescent="0.2">
      <c r="A43" t="s">
        <v>290</v>
      </c>
      <c r="B43" t="s">
        <v>655</v>
      </c>
      <c r="C43" s="56"/>
      <c r="E43" s="56"/>
      <c r="G43" s="57"/>
      <c r="I43" s="6" t="s">
        <v>285</v>
      </c>
      <c r="J43" s="6" t="s">
        <v>286</v>
      </c>
      <c r="K43" s="6" t="s">
        <v>287</v>
      </c>
      <c r="L43" s="6" t="s">
        <v>288</v>
      </c>
      <c r="M43" s="6" t="s">
        <v>217</v>
      </c>
    </row>
    <row r="44" spans="1:13" x14ac:dyDescent="0.2">
      <c r="A44" t="s">
        <v>291</v>
      </c>
      <c r="B44" t="s">
        <v>292</v>
      </c>
      <c r="C44" s="56"/>
      <c r="E44" s="56"/>
      <c r="G44" s="56"/>
      <c r="H44" s="6"/>
      <c r="I44" s="6" t="s">
        <v>285</v>
      </c>
      <c r="J44" s="6" t="s">
        <v>286</v>
      </c>
      <c r="K44" s="6" t="s">
        <v>287</v>
      </c>
      <c r="L44" s="6" t="s">
        <v>288</v>
      </c>
      <c r="M44" s="6" t="s">
        <v>217</v>
      </c>
    </row>
    <row r="45" spans="1:13" x14ac:dyDescent="0.2">
      <c r="A45" t="s">
        <v>293</v>
      </c>
      <c r="B45" t="s">
        <v>656</v>
      </c>
      <c r="C45" s="56"/>
      <c r="E45" s="56"/>
      <c r="F45" s="6"/>
      <c r="G45" s="57"/>
      <c r="H45" s="6"/>
      <c r="I45" s="6" t="s">
        <v>285</v>
      </c>
      <c r="J45" s="6" t="s">
        <v>286</v>
      </c>
      <c r="K45" s="6" t="s">
        <v>287</v>
      </c>
      <c r="L45" s="6" t="s">
        <v>288</v>
      </c>
      <c r="M45" s="6" t="s">
        <v>217</v>
      </c>
    </row>
    <row r="46" spans="1:13" x14ac:dyDescent="0.2">
      <c r="A46" t="s">
        <v>294</v>
      </c>
      <c r="B46" t="s">
        <v>295</v>
      </c>
      <c r="C46" s="56"/>
      <c r="E46" s="56"/>
      <c r="F46" s="6"/>
      <c r="G46" s="57"/>
      <c r="I46" s="6" t="s">
        <v>285</v>
      </c>
      <c r="J46" s="6" t="s">
        <v>286</v>
      </c>
      <c r="K46" s="6" t="s">
        <v>287</v>
      </c>
      <c r="L46" s="6" t="s">
        <v>288</v>
      </c>
      <c r="M46" s="6" t="s">
        <v>217</v>
      </c>
    </row>
    <row r="47" spans="1:13" x14ac:dyDescent="0.2">
      <c r="A47" t="s">
        <v>296</v>
      </c>
      <c r="B47" t="s">
        <v>297</v>
      </c>
      <c r="C47" s="56"/>
      <c r="E47" s="56"/>
      <c r="F47" s="6"/>
      <c r="G47" s="57"/>
      <c r="H47" s="6"/>
      <c r="I47" s="6" t="s">
        <v>285</v>
      </c>
      <c r="J47" s="6" t="s">
        <v>286</v>
      </c>
      <c r="K47" s="6" t="s">
        <v>298</v>
      </c>
      <c r="L47" s="6" t="s">
        <v>299</v>
      </c>
      <c r="M47" s="6" t="s">
        <v>217</v>
      </c>
    </row>
    <row r="48" spans="1:13" x14ac:dyDescent="0.2">
      <c r="A48" t="s">
        <v>300</v>
      </c>
      <c r="B48" t="s">
        <v>16</v>
      </c>
      <c r="C48" s="56"/>
      <c r="E48" s="56"/>
      <c r="F48" s="6"/>
      <c r="G48" s="57"/>
      <c r="H48" s="6"/>
      <c r="I48" s="6" t="s">
        <v>285</v>
      </c>
      <c r="J48" s="6" t="s">
        <v>286</v>
      </c>
      <c r="K48" s="6" t="s">
        <v>301</v>
      </c>
      <c r="L48" s="6" t="s">
        <v>302</v>
      </c>
      <c r="M48" s="6" t="s">
        <v>217</v>
      </c>
    </row>
    <row r="49" spans="1:13" x14ac:dyDescent="0.2">
      <c r="A49" t="s">
        <v>303</v>
      </c>
      <c r="B49" t="s">
        <v>17</v>
      </c>
      <c r="C49" s="56"/>
      <c r="E49" s="56"/>
      <c r="F49" s="6"/>
      <c r="G49" s="57"/>
      <c r="H49" s="6"/>
      <c r="I49" s="6" t="s">
        <v>285</v>
      </c>
      <c r="J49" s="6" t="s">
        <v>286</v>
      </c>
      <c r="K49" s="6" t="s">
        <v>301</v>
      </c>
      <c r="L49" s="6" t="s">
        <v>302</v>
      </c>
      <c r="M49" s="6" t="s">
        <v>217</v>
      </c>
    </row>
    <row r="50" spans="1:13" x14ac:dyDescent="0.2">
      <c r="A50" t="s">
        <v>304</v>
      </c>
      <c r="B50" t="s">
        <v>657</v>
      </c>
      <c r="C50" s="56"/>
      <c r="E50" s="56"/>
      <c r="F50" s="6"/>
      <c r="G50" s="57"/>
      <c r="H50" s="6"/>
      <c r="I50" s="6" t="s">
        <v>285</v>
      </c>
      <c r="J50" s="6" t="s">
        <v>286</v>
      </c>
      <c r="K50" s="6" t="s">
        <v>301</v>
      </c>
      <c r="L50" s="6" t="s">
        <v>302</v>
      </c>
      <c r="M50" s="6" t="s">
        <v>217</v>
      </c>
    </row>
    <row r="51" spans="1:13" x14ac:dyDescent="0.2">
      <c r="A51" t="s">
        <v>305</v>
      </c>
      <c r="B51" t="s">
        <v>658</v>
      </c>
      <c r="C51" s="56"/>
      <c r="E51" s="56"/>
      <c r="F51" s="6"/>
      <c r="G51" s="57"/>
      <c r="H51" s="6"/>
      <c r="I51" s="6" t="s">
        <v>285</v>
      </c>
      <c r="J51" s="6" t="s">
        <v>286</v>
      </c>
      <c r="K51" s="6" t="s">
        <v>301</v>
      </c>
      <c r="L51" s="6" t="s">
        <v>302</v>
      </c>
      <c r="M51" s="6" t="s">
        <v>217</v>
      </c>
    </row>
    <row r="52" spans="1:13" x14ac:dyDescent="0.2">
      <c r="A52" t="s">
        <v>306</v>
      </c>
      <c r="B52" t="s">
        <v>18</v>
      </c>
      <c r="C52" s="56"/>
      <c r="E52" s="56"/>
      <c r="F52" s="6"/>
      <c r="G52" s="57"/>
      <c r="H52" s="6"/>
      <c r="I52" s="6" t="s">
        <v>285</v>
      </c>
      <c r="J52" s="6" t="s">
        <v>286</v>
      </c>
      <c r="K52" s="6" t="s">
        <v>301</v>
      </c>
      <c r="L52" s="6" t="s">
        <v>302</v>
      </c>
      <c r="M52" s="6" t="s">
        <v>217</v>
      </c>
    </row>
    <row r="53" spans="1:13" x14ac:dyDescent="0.2">
      <c r="A53" t="s">
        <v>307</v>
      </c>
      <c r="B53" t="s">
        <v>19</v>
      </c>
      <c r="C53" s="56"/>
      <c r="E53" s="56"/>
      <c r="F53" s="6"/>
      <c r="G53" s="57"/>
      <c r="H53" s="6"/>
      <c r="I53" s="6" t="s">
        <v>285</v>
      </c>
      <c r="J53" s="6" t="s">
        <v>286</v>
      </c>
      <c r="K53" s="6" t="s">
        <v>301</v>
      </c>
      <c r="L53" s="6" t="s">
        <v>302</v>
      </c>
      <c r="M53" s="6" t="s">
        <v>217</v>
      </c>
    </row>
    <row r="54" spans="1:13" x14ac:dyDescent="0.2">
      <c r="A54" t="s">
        <v>308</v>
      </c>
      <c r="B54" t="s">
        <v>20</v>
      </c>
      <c r="C54" s="56"/>
      <c r="E54" s="56"/>
      <c r="G54" s="57"/>
      <c r="H54" s="6"/>
      <c r="I54" s="6" t="s">
        <v>285</v>
      </c>
      <c r="J54" s="6" t="s">
        <v>286</v>
      </c>
      <c r="K54" s="6" t="s">
        <v>301</v>
      </c>
      <c r="L54" s="6" t="s">
        <v>302</v>
      </c>
      <c r="M54" s="6" t="s">
        <v>217</v>
      </c>
    </row>
    <row r="55" spans="1:13" x14ac:dyDescent="0.2">
      <c r="A55" t="s">
        <v>309</v>
      </c>
      <c r="B55" t="s">
        <v>128</v>
      </c>
      <c r="C55" s="56"/>
      <c r="E55" s="56"/>
      <c r="F55" s="6"/>
      <c r="G55" s="57"/>
      <c r="I55" s="6" t="s">
        <v>285</v>
      </c>
      <c r="J55" s="6" t="s">
        <v>286</v>
      </c>
      <c r="K55" s="6" t="s">
        <v>301</v>
      </c>
      <c r="L55" s="6" t="s">
        <v>302</v>
      </c>
      <c r="M55" s="6" t="s">
        <v>217</v>
      </c>
    </row>
    <row r="56" spans="1:13" x14ac:dyDescent="0.2">
      <c r="A56" t="s">
        <v>310</v>
      </c>
      <c r="B56" t="s">
        <v>660</v>
      </c>
      <c r="C56" s="56"/>
      <c r="E56" s="56"/>
      <c r="G56" s="57"/>
      <c r="I56" s="6" t="s">
        <v>285</v>
      </c>
      <c r="J56" s="6" t="s">
        <v>286</v>
      </c>
      <c r="K56" s="6" t="s">
        <v>301</v>
      </c>
      <c r="L56" s="6" t="s">
        <v>302</v>
      </c>
      <c r="M56" s="6" t="s">
        <v>217</v>
      </c>
    </row>
    <row r="57" spans="1:13" x14ac:dyDescent="0.2">
      <c r="A57" t="s">
        <v>311</v>
      </c>
      <c r="B57" t="s">
        <v>659</v>
      </c>
      <c r="C57" s="56"/>
      <c r="E57" s="56"/>
      <c r="F57" s="6"/>
      <c r="G57" s="57"/>
      <c r="H57" s="6"/>
      <c r="I57" s="6" t="s">
        <v>285</v>
      </c>
      <c r="J57" s="6" t="s">
        <v>286</v>
      </c>
      <c r="K57" s="6" t="s">
        <v>301</v>
      </c>
      <c r="L57" s="6" t="s">
        <v>302</v>
      </c>
      <c r="M57" s="6" t="s">
        <v>217</v>
      </c>
    </row>
    <row r="58" spans="1:13" x14ac:dyDescent="0.2">
      <c r="A58" t="s">
        <v>312</v>
      </c>
      <c r="B58" t="s">
        <v>134</v>
      </c>
      <c r="C58" s="56"/>
      <c r="E58" s="56"/>
      <c r="G58" s="57"/>
      <c r="H58" s="6"/>
      <c r="I58" s="6" t="s">
        <v>285</v>
      </c>
      <c r="J58" s="6" t="s">
        <v>286</v>
      </c>
      <c r="K58" s="6" t="s">
        <v>301</v>
      </c>
      <c r="L58" s="6" t="s">
        <v>302</v>
      </c>
      <c r="M58" s="6" t="s">
        <v>217</v>
      </c>
    </row>
    <row r="59" spans="1:13" x14ac:dyDescent="0.2">
      <c r="A59" t="s">
        <v>313</v>
      </c>
      <c r="B59" t="s">
        <v>22</v>
      </c>
      <c r="C59" s="56"/>
      <c r="E59" s="56"/>
      <c r="F59" s="6"/>
      <c r="G59" s="57"/>
      <c r="H59" s="6"/>
      <c r="I59" s="6" t="s">
        <v>285</v>
      </c>
      <c r="J59" s="6" t="s">
        <v>286</v>
      </c>
      <c r="K59" s="6" t="s">
        <v>301</v>
      </c>
      <c r="L59" s="6" t="s">
        <v>302</v>
      </c>
      <c r="M59" s="6" t="s">
        <v>217</v>
      </c>
    </row>
    <row r="60" spans="1:13" x14ac:dyDescent="0.2">
      <c r="A60" t="s">
        <v>314</v>
      </c>
      <c r="B60" t="s">
        <v>23</v>
      </c>
      <c r="C60" s="56"/>
      <c r="E60" s="56"/>
      <c r="G60" s="57"/>
      <c r="I60" s="6" t="s">
        <v>285</v>
      </c>
      <c r="J60" s="6" t="s">
        <v>286</v>
      </c>
      <c r="K60" s="6" t="s">
        <v>301</v>
      </c>
      <c r="L60" s="6" t="s">
        <v>302</v>
      </c>
      <c r="M60" s="6" t="s">
        <v>217</v>
      </c>
    </row>
    <row r="61" spans="1:13" x14ac:dyDescent="0.2">
      <c r="A61" t="s">
        <v>315</v>
      </c>
      <c r="B61" t="s">
        <v>148</v>
      </c>
      <c r="C61" s="56"/>
      <c r="E61" s="56"/>
      <c r="F61" s="6"/>
      <c r="G61" s="57"/>
      <c r="I61" s="6" t="s">
        <v>285</v>
      </c>
      <c r="J61" s="6" t="s">
        <v>286</v>
      </c>
      <c r="K61" s="6" t="s">
        <v>301</v>
      </c>
      <c r="L61" s="6" t="s">
        <v>302</v>
      </c>
      <c r="M61" s="6" t="s">
        <v>217</v>
      </c>
    </row>
    <row r="62" spans="1:13" x14ac:dyDescent="0.2">
      <c r="A62" t="s">
        <v>316</v>
      </c>
      <c r="B62" t="s">
        <v>317</v>
      </c>
      <c r="C62" s="56"/>
      <c r="E62" s="56"/>
      <c r="F62" s="6"/>
      <c r="G62" s="57"/>
      <c r="H62" s="6"/>
      <c r="I62" s="6" t="s">
        <v>318</v>
      </c>
      <c r="J62" s="6" t="s">
        <v>319</v>
      </c>
      <c r="K62" s="6" t="s">
        <v>320</v>
      </c>
      <c r="L62" s="6" t="s">
        <v>321</v>
      </c>
      <c r="M62" s="6" t="s">
        <v>322</v>
      </c>
    </row>
    <row r="63" spans="1:13" x14ac:dyDescent="0.2">
      <c r="A63" t="s">
        <v>323</v>
      </c>
      <c r="B63" t="s">
        <v>324</v>
      </c>
      <c r="C63" s="56"/>
      <c r="E63" s="56"/>
      <c r="F63" s="6"/>
      <c r="G63" s="56"/>
      <c r="I63" s="6" t="s">
        <v>318</v>
      </c>
      <c r="J63" s="6" t="s">
        <v>319</v>
      </c>
      <c r="K63" s="6" t="s">
        <v>320</v>
      </c>
      <c r="L63" s="6" t="s">
        <v>321</v>
      </c>
      <c r="M63" s="6" t="s">
        <v>322</v>
      </c>
    </row>
    <row r="64" spans="1:13" x14ac:dyDescent="0.2">
      <c r="A64" t="s">
        <v>325</v>
      </c>
      <c r="B64" t="s">
        <v>662</v>
      </c>
      <c r="C64" s="56"/>
      <c r="E64" s="56"/>
      <c r="G64" s="57"/>
      <c r="I64" s="6" t="s">
        <v>318</v>
      </c>
      <c r="J64" s="6" t="s">
        <v>319</v>
      </c>
      <c r="K64" s="6" t="s">
        <v>320</v>
      </c>
      <c r="L64" s="6" t="s">
        <v>321</v>
      </c>
      <c r="M64" s="6" t="s">
        <v>322</v>
      </c>
    </row>
    <row r="65" spans="1:13" x14ac:dyDescent="0.2">
      <c r="A65" t="s">
        <v>326</v>
      </c>
      <c r="B65" t="s">
        <v>664</v>
      </c>
      <c r="C65" s="56"/>
      <c r="E65" s="56"/>
      <c r="G65" s="57"/>
      <c r="I65" s="6" t="s">
        <v>318</v>
      </c>
      <c r="J65" s="6" t="s">
        <v>319</v>
      </c>
      <c r="K65" s="6" t="s">
        <v>320</v>
      </c>
      <c r="L65" s="6" t="s">
        <v>321</v>
      </c>
      <c r="M65" s="6" t="s">
        <v>322</v>
      </c>
    </row>
    <row r="66" spans="1:13" x14ac:dyDescent="0.2">
      <c r="A66" t="s">
        <v>327</v>
      </c>
      <c r="B66" t="s">
        <v>665</v>
      </c>
      <c r="C66" s="56"/>
      <c r="E66" s="56"/>
      <c r="G66" s="57"/>
      <c r="I66" s="6" t="s">
        <v>318</v>
      </c>
      <c r="J66" s="6" t="s">
        <v>319</v>
      </c>
      <c r="K66" s="6" t="s">
        <v>320</v>
      </c>
      <c r="L66" s="6" t="s">
        <v>321</v>
      </c>
      <c r="M66" s="6" t="s">
        <v>322</v>
      </c>
    </row>
    <row r="67" spans="1:13" x14ac:dyDescent="0.2">
      <c r="A67" t="s">
        <v>328</v>
      </c>
      <c r="B67" t="s">
        <v>663</v>
      </c>
      <c r="C67" s="56"/>
      <c r="E67" s="56"/>
      <c r="G67" s="57"/>
      <c r="I67" s="6" t="s">
        <v>318</v>
      </c>
      <c r="J67" s="6" t="s">
        <v>319</v>
      </c>
      <c r="K67" s="6" t="s">
        <v>320</v>
      </c>
      <c r="L67" s="6" t="s">
        <v>321</v>
      </c>
      <c r="M67" s="6" t="s">
        <v>322</v>
      </c>
    </row>
    <row r="68" spans="1:13" x14ac:dyDescent="0.2">
      <c r="A68" t="s">
        <v>329</v>
      </c>
      <c r="B68" t="s">
        <v>666</v>
      </c>
      <c r="C68" s="56"/>
      <c r="E68" s="56"/>
      <c r="G68" s="57"/>
      <c r="I68" s="6" t="s">
        <v>318</v>
      </c>
      <c r="J68" s="6" t="s">
        <v>319</v>
      </c>
      <c r="K68" s="6" t="s">
        <v>320</v>
      </c>
      <c r="L68" s="6" t="s">
        <v>321</v>
      </c>
      <c r="M68" s="6" t="s">
        <v>322</v>
      </c>
    </row>
    <row r="69" spans="1:13" x14ac:dyDescent="0.2">
      <c r="A69" t="s">
        <v>330</v>
      </c>
      <c r="B69" t="s">
        <v>667</v>
      </c>
      <c r="C69" s="56"/>
      <c r="E69" s="56"/>
      <c r="G69" s="57"/>
      <c r="I69" s="6" t="s">
        <v>318</v>
      </c>
      <c r="J69" s="6" t="s">
        <v>319</v>
      </c>
      <c r="K69" s="6" t="s">
        <v>320</v>
      </c>
      <c r="L69" s="6" t="s">
        <v>321</v>
      </c>
      <c r="M69" s="6" t="s">
        <v>322</v>
      </c>
    </row>
    <row r="70" spans="1:13" x14ac:dyDescent="0.2">
      <c r="A70" t="s">
        <v>331</v>
      </c>
      <c r="B70" t="s">
        <v>668</v>
      </c>
      <c r="C70" s="56"/>
      <c r="E70" s="56"/>
      <c r="G70" s="57"/>
      <c r="I70" s="6" t="s">
        <v>318</v>
      </c>
      <c r="J70" s="6" t="s">
        <v>319</v>
      </c>
      <c r="K70" s="6" t="s">
        <v>320</v>
      </c>
      <c r="L70" s="6" t="s">
        <v>321</v>
      </c>
      <c r="M70" s="6" t="s">
        <v>322</v>
      </c>
    </row>
    <row r="71" spans="1:13" x14ac:dyDescent="0.2">
      <c r="A71" t="s">
        <v>332</v>
      </c>
      <c r="B71" t="s">
        <v>64</v>
      </c>
      <c r="C71" s="56"/>
      <c r="E71" s="56"/>
      <c r="F71" s="6"/>
      <c r="G71" s="57"/>
      <c r="H71" s="6"/>
      <c r="I71" s="6" t="s">
        <v>318</v>
      </c>
      <c r="J71" s="6" t="s">
        <v>319</v>
      </c>
      <c r="K71" s="6" t="s">
        <v>320</v>
      </c>
      <c r="L71" s="6" t="s">
        <v>321</v>
      </c>
      <c r="M71" s="6" t="s">
        <v>322</v>
      </c>
    </row>
    <row r="72" spans="1:13" x14ac:dyDescent="0.2">
      <c r="A72" t="s">
        <v>333</v>
      </c>
      <c r="B72" t="s">
        <v>334</v>
      </c>
      <c r="C72" s="56"/>
      <c r="E72" s="56"/>
      <c r="F72" s="6"/>
      <c r="G72" s="57"/>
      <c r="H72" s="6"/>
      <c r="I72" s="6" t="s">
        <v>335</v>
      </c>
      <c r="J72" s="6" t="s">
        <v>336</v>
      </c>
      <c r="K72" s="6" t="s">
        <v>337</v>
      </c>
      <c r="L72" s="6" t="s">
        <v>338</v>
      </c>
      <c r="M72" s="6" t="s">
        <v>339</v>
      </c>
    </row>
    <row r="73" spans="1:13" x14ac:dyDescent="0.2">
      <c r="A73" t="s">
        <v>340</v>
      </c>
      <c r="B73" t="s">
        <v>32</v>
      </c>
      <c r="C73" s="56"/>
      <c r="E73" s="56"/>
      <c r="G73" s="57"/>
      <c r="H73" s="6"/>
      <c r="I73" s="6" t="s">
        <v>335</v>
      </c>
      <c r="J73" s="6" t="s">
        <v>336</v>
      </c>
      <c r="K73" s="6" t="s">
        <v>341</v>
      </c>
      <c r="L73" s="6" t="s">
        <v>342</v>
      </c>
      <c r="M73" s="6" t="s">
        <v>339</v>
      </c>
    </row>
    <row r="74" spans="1:13" x14ac:dyDescent="0.2">
      <c r="A74" t="s">
        <v>343</v>
      </c>
      <c r="B74" t="s">
        <v>344</v>
      </c>
      <c r="C74" s="56"/>
      <c r="E74" s="56"/>
      <c r="F74" s="6"/>
      <c r="G74" s="57"/>
      <c r="H74" s="6"/>
      <c r="I74" s="6" t="s">
        <v>335</v>
      </c>
      <c r="J74" s="6" t="s">
        <v>336</v>
      </c>
      <c r="K74" s="6" t="s">
        <v>341</v>
      </c>
      <c r="L74" s="6" t="s">
        <v>342</v>
      </c>
      <c r="M74" s="6" t="s">
        <v>339</v>
      </c>
    </row>
    <row r="75" spans="1:13" x14ac:dyDescent="0.2">
      <c r="A75" t="s">
        <v>345</v>
      </c>
      <c r="B75" t="s">
        <v>663</v>
      </c>
      <c r="C75" s="56"/>
      <c r="E75" s="56"/>
      <c r="G75" s="57"/>
      <c r="I75" s="6" t="s">
        <v>335</v>
      </c>
      <c r="J75" s="6" t="s">
        <v>336</v>
      </c>
      <c r="K75" s="6" t="s">
        <v>341</v>
      </c>
      <c r="L75" s="6" t="s">
        <v>342</v>
      </c>
      <c r="M75" s="6" t="s">
        <v>339</v>
      </c>
    </row>
    <row r="76" spans="1:13" x14ac:dyDescent="0.2">
      <c r="A76" t="s">
        <v>346</v>
      </c>
      <c r="B76" t="s">
        <v>347</v>
      </c>
      <c r="C76" s="56"/>
      <c r="E76" s="56"/>
      <c r="F76" s="6"/>
      <c r="G76" s="57"/>
      <c r="H76" s="6"/>
      <c r="I76" s="6" t="s">
        <v>348</v>
      </c>
      <c r="J76" s="6" t="s">
        <v>349</v>
      </c>
      <c r="K76" s="6" t="s">
        <v>350</v>
      </c>
      <c r="L76" s="6" t="s">
        <v>351</v>
      </c>
      <c r="M76" s="6" t="s">
        <v>352</v>
      </c>
    </row>
    <row r="77" spans="1:13" x14ac:dyDescent="0.2">
      <c r="A77" t="s">
        <v>353</v>
      </c>
      <c r="B77" t="s">
        <v>354</v>
      </c>
      <c r="C77" s="56"/>
      <c r="E77" s="56"/>
      <c r="G77" s="56"/>
      <c r="H77" s="6"/>
      <c r="I77" s="6" t="s">
        <v>348</v>
      </c>
      <c r="J77" s="6" t="s">
        <v>349</v>
      </c>
      <c r="K77" s="6" t="s">
        <v>350</v>
      </c>
      <c r="L77" s="6" t="s">
        <v>351</v>
      </c>
      <c r="M77" s="6" t="s">
        <v>352</v>
      </c>
    </row>
    <row r="78" spans="1:13" x14ac:dyDescent="0.2">
      <c r="A78" t="s">
        <v>355</v>
      </c>
      <c r="B78" t="s">
        <v>356</v>
      </c>
      <c r="C78" s="56"/>
      <c r="E78" s="56"/>
      <c r="F78" s="6"/>
      <c r="G78" s="57"/>
      <c r="I78" s="6" t="s">
        <v>348</v>
      </c>
      <c r="J78" s="6" t="s">
        <v>349</v>
      </c>
      <c r="K78" s="6" t="s">
        <v>350</v>
      </c>
      <c r="L78" s="6" t="s">
        <v>351</v>
      </c>
      <c r="M78" s="6" t="s">
        <v>352</v>
      </c>
    </row>
    <row r="79" spans="1:13" x14ac:dyDescent="0.2">
      <c r="A79" t="s">
        <v>357</v>
      </c>
      <c r="B79" t="s">
        <v>358</v>
      </c>
      <c r="C79" s="56"/>
      <c r="E79" s="56"/>
      <c r="F79" s="6"/>
      <c r="G79" s="57"/>
      <c r="H79" s="6"/>
      <c r="I79" s="6" t="s">
        <v>348</v>
      </c>
      <c r="J79" s="6" t="s">
        <v>349</v>
      </c>
      <c r="K79" s="6" t="s">
        <v>350</v>
      </c>
      <c r="L79" s="6" t="s">
        <v>351</v>
      </c>
      <c r="M79" s="6" t="s">
        <v>352</v>
      </c>
    </row>
    <row r="80" spans="1:13" x14ac:dyDescent="0.2">
      <c r="A80" t="s">
        <v>359</v>
      </c>
      <c r="B80" t="s">
        <v>670</v>
      </c>
      <c r="C80" s="56"/>
      <c r="E80" s="56"/>
      <c r="F80" s="6"/>
      <c r="G80" s="57"/>
      <c r="I80" s="6" t="s">
        <v>348</v>
      </c>
      <c r="J80" s="6" t="s">
        <v>349</v>
      </c>
      <c r="K80" s="6" t="s">
        <v>350</v>
      </c>
      <c r="L80" s="6" t="s">
        <v>351</v>
      </c>
      <c r="M80" s="6" t="s">
        <v>352</v>
      </c>
    </row>
    <row r="81" spans="1:13" x14ac:dyDescent="0.2">
      <c r="A81" t="s">
        <v>360</v>
      </c>
      <c r="B81" t="s">
        <v>361</v>
      </c>
      <c r="C81" s="56"/>
      <c r="E81" s="56"/>
      <c r="F81" s="6"/>
      <c r="G81" s="57"/>
      <c r="H81" s="6"/>
      <c r="I81" s="6" t="s">
        <v>362</v>
      </c>
      <c r="J81" s="6" t="s">
        <v>363</v>
      </c>
      <c r="K81" s="6" t="s">
        <v>364</v>
      </c>
      <c r="L81" s="6" t="s">
        <v>365</v>
      </c>
      <c r="M81" s="6" t="s">
        <v>366</v>
      </c>
    </row>
    <row r="82" spans="1:13" x14ac:dyDescent="0.2">
      <c r="A82" t="s">
        <v>367</v>
      </c>
      <c r="B82" t="s">
        <v>368</v>
      </c>
      <c r="C82" s="56"/>
      <c r="E82" s="56"/>
      <c r="F82" s="6"/>
      <c r="G82" s="57"/>
      <c r="I82" s="6" t="s">
        <v>362</v>
      </c>
      <c r="J82" s="6" t="s">
        <v>363</v>
      </c>
      <c r="K82" s="6" t="s">
        <v>364</v>
      </c>
      <c r="L82" s="6" t="s">
        <v>365</v>
      </c>
      <c r="M82" s="6" t="s">
        <v>366</v>
      </c>
    </row>
    <row r="83" spans="1:13" x14ac:dyDescent="0.2">
      <c r="A83" t="s">
        <v>369</v>
      </c>
      <c r="B83" t="s">
        <v>370</v>
      </c>
      <c r="C83" s="56"/>
      <c r="E83" s="56"/>
      <c r="F83" s="6"/>
      <c r="G83" s="57"/>
      <c r="H83" s="6"/>
      <c r="I83" s="6" t="s">
        <v>362</v>
      </c>
      <c r="J83" s="6" t="s">
        <v>363</v>
      </c>
      <c r="K83" s="6" t="s">
        <v>364</v>
      </c>
      <c r="L83" s="6" t="s">
        <v>365</v>
      </c>
      <c r="M83" s="6" t="s">
        <v>366</v>
      </c>
    </row>
    <row r="84" spans="1:13" x14ac:dyDescent="0.2">
      <c r="A84" t="s">
        <v>371</v>
      </c>
      <c r="B84" t="s">
        <v>372</v>
      </c>
      <c r="C84" s="56"/>
      <c r="E84" s="56"/>
      <c r="F84" s="6"/>
      <c r="G84" s="57"/>
      <c r="H84" s="6"/>
      <c r="I84" s="6" t="s">
        <v>362</v>
      </c>
      <c r="J84" s="6" t="s">
        <v>363</v>
      </c>
      <c r="K84" s="6" t="s">
        <v>364</v>
      </c>
      <c r="L84" s="6" t="s">
        <v>365</v>
      </c>
      <c r="M84" s="6" t="s">
        <v>366</v>
      </c>
    </row>
    <row r="85" spans="1:13" x14ac:dyDescent="0.2">
      <c r="A85" t="s">
        <v>373</v>
      </c>
      <c r="B85" t="s">
        <v>374</v>
      </c>
      <c r="C85" s="56"/>
      <c r="E85" s="56"/>
      <c r="F85" s="6"/>
      <c r="G85" s="57"/>
      <c r="H85" s="6"/>
      <c r="I85" s="6" t="s">
        <v>362</v>
      </c>
      <c r="J85" s="6" t="s">
        <v>363</v>
      </c>
      <c r="K85" s="6" t="s">
        <v>364</v>
      </c>
      <c r="L85" s="6" t="s">
        <v>365</v>
      </c>
      <c r="M85" s="6" t="s">
        <v>366</v>
      </c>
    </row>
    <row r="86" spans="1:13" x14ac:dyDescent="0.2">
      <c r="A86" t="s">
        <v>375</v>
      </c>
      <c r="B86" t="s">
        <v>672</v>
      </c>
      <c r="C86" s="56"/>
      <c r="E86" s="56"/>
      <c r="G86" s="57"/>
      <c r="H86" s="6"/>
      <c r="I86" s="6" t="s">
        <v>362</v>
      </c>
      <c r="J86" s="6" t="s">
        <v>363</v>
      </c>
      <c r="K86" s="6" t="s">
        <v>364</v>
      </c>
      <c r="L86" s="6" t="s">
        <v>365</v>
      </c>
      <c r="M86" s="6" t="s">
        <v>366</v>
      </c>
    </row>
    <row r="87" spans="1:13" x14ac:dyDescent="0.2">
      <c r="A87" t="s">
        <v>376</v>
      </c>
      <c r="B87" t="s">
        <v>377</v>
      </c>
      <c r="C87" s="56"/>
      <c r="E87" s="56"/>
      <c r="F87" s="6"/>
      <c r="G87" s="57"/>
      <c r="H87" s="6"/>
      <c r="I87" s="6" t="s">
        <v>362</v>
      </c>
      <c r="J87" s="6" t="s">
        <v>363</v>
      </c>
      <c r="K87" s="6" t="s">
        <v>364</v>
      </c>
      <c r="L87" s="6" t="s">
        <v>365</v>
      </c>
      <c r="M87" s="6" t="s">
        <v>366</v>
      </c>
    </row>
    <row r="88" spans="1:13" x14ac:dyDescent="0.2">
      <c r="A88" t="s">
        <v>378</v>
      </c>
      <c r="B88" t="s">
        <v>379</v>
      </c>
      <c r="C88" s="56"/>
      <c r="E88" s="56"/>
      <c r="F88" s="6"/>
      <c r="G88" s="57"/>
      <c r="H88" s="6"/>
      <c r="I88" s="6" t="s">
        <v>362</v>
      </c>
      <c r="J88" s="6" t="s">
        <v>363</v>
      </c>
      <c r="K88" s="6" t="s">
        <v>364</v>
      </c>
      <c r="L88" s="6" t="s">
        <v>365</v>
      </c>
      <c r="M88" s="6" t="s">
        <v>366</v>
      </c>
    </row>
    <row r="89" spans="1:13" x14ac:dyDescent="0.2">
      <c r="A89" t="s">
        <v>380</v>
      </c>
      <c r="B89" t="s">
        <v>381</v>
      </c>
      <c r="C89" s="56"/>
      <c r="E89" s="56"/>
      <c r="G89" s="56"/>
      <c r="H89" s="6"/>
      <c r="I89" s="6" t="s">
        <v>362</v>
      </c>
      <c r="J89" s="6" t="s">
        <v>363</v>
      </c>
      <c r="K89" s="6" t="s">
        <v>364</v>
      </c>
      <c r="L89" s="6" t="s">
        <v>365</v>
      </c>
      <c r="M89" s="6" t="s">
        <v>366</v>
      </c>
    </row>
    <row r="90" spans="1:13" x14ac:dyDescent="0.2">
      <c r="A90" t="s">
        <v>382</v>
      </c>
      <c r="B90" t="s">
        <v>383</v>
      </c>
      <c r="C90" s="56"/>
      <c r="E90" s="56"/>
      <c r="F90" s="6"/>
      <c r="G90" s="57"/>
      <c r="H90" s="6"/>
      <c r="I90" s="6" t="s">
        <v>362</v>
      </c>
      <c r="J90" s="6" t="s">
        <v>363</v>
      </c>
      <c r="K90" s="6" t="s">
        <v>364</v>
      </c>
      <c r="L90" s="6" t="s">
        <v>365</v>
      </c>
      <c r="M90" s="6" t="s">
        <v>366</v>
      </c>
    </row>
    <row r="91" spans="1:13" x14ac:dyDescent="0.2">
      <c r="A91" t="s">
        <v>384</v>
      </c>
      <c r="B91" t="s">
        <v>385</v>
      </c>
      <c r="C91" s="56"/>
      <c r="E91" s="56"/>
      <c r="F91" s="6"/>
      <c r="G91" s="57"/>
      <c r="H91" s="6"/>
      <c r="I91" s="6" t="s">
        <v>362</v>
      </c>
      <c r="J91" s="6" t="s">
        <v>363</v>
      </c>
      <c r="K91" s="6" t="s">
        <v>364</v>
      </c>
      <c r="L91" s="6" t="s">
        <v>365</v>
      </c>
      <c r="M91" s="6" t="s">
        <v>366</v>
      </c>
    </row>
    <row r="92" spans="1:13" x14ac:dyDescent="0.2">
      <c r="A92" t="s">
        <v>386</v>
      </c>
      <c r="B92" t="s">
        <v>387</v>
      </c>
      <c r="C92" s="56"/>
      <c r="E92" s="56"/>
      <c r="F92" s="6"/>
      <c r="G92" s="57"/>
      <c r="H92" s="6"/>
      <c r="I92" s="6" t="s">
        <v>362</v>
      </c>
      <c r="J92" s="6" t="s">
        <v>363</v>
      </c>
      <c r="K92" s="6" t="s">
        <v>364</v>
      </c>
      <c r="L92" s="6" t="s">
        <v>365</v>
      </c>
      <c r="M92" s="6" t="s">
        <v>366</v>
      </c>
    </row>
    <row r="93" spans="1:13" x14ac:dyDescent="0.2">
      <c r="A93" t="s">
        <v>388</v>
      </c>
      <c r="B93" t="s">
        <v>389</v>
      </c>
      <c r="C93" s="56"/>
      <c r="E93" s="56"/>
      <c r="F93" s="6"/>
      <c r="G93" s="57"/>
      <c r="H93" s="6"/>
      <c r="I93" s="6" t="s">
        <v>362</v>
      </c>
      <c r="J93" s="6" t="s">
        <v>363</v>
      </c>
      <c r="K93" s="6" t="s">
        <v>390</v>
      </c>
      <c r="L93" s="6" t="s">
        <v>66</v>
      </c>
      <c r="M93" s="6" t="s">
        <v>366</v>
      </c>
    </row>
    <row r="94" spans="1:13" x14ac:dyDescent="0.2">
      <c r="A94" t="s">
        <v>391</v>
      </c>
      <c r="B94" t="s">
        <v>107</v>
      </c>
      <c r="C94" s="56"/>
      <c r="E94" s="56"/>
      <c r="F94" s="6"/>
      <c r="G94" s="57"/>
      <c r="H94" s="6"/>
      <c r="I94" s="6" t="s">
        <v>362</v>
      </c>
      <c r="J94" s="6" t="s">
        <v>363</v>
      </c>
      <c r="K94" s="6" t="s">
        <v>390</v>
      </c>
      <c r="L94" s="6" t="s">
        <v>66</v>
      </c>
      <c r="M94" s="6" t="s">
        <v>366</v>
      </c>
    </row>
    <row r="95" spans="1:13" x14ac:dyDescent="0.2">
      <c r="A95" t="s">
        <v>392</v>
      </c>
      <c r="B95" t="s">
        <v>393</v>
      </c>
      <c r="C95" s="56"/>
      <c r="E95" s="56"/>
      <c r="F95" s="6"/>
      <c r="G95" s="57"/>
      <c r="H95" s="6"/>
      <c r="I95" s="6" t="s">
        <v>394</v>
      </c>
      <c r="J95" s="6" t="s">
        <v>395</v>
      </c>
      <c r="K95" s="6" t="s">
        <v>396</v>
      </c>
      <c r="L95" s="6" t="s">
        <v>397</v>
      </c>
      <c r="M95" s="6" t="s">
        <v>398</v>
      </c>
    </row>
    <row r="96" spans="1:13" x14ac:dyDescent="0.2">
      <c r="A96" t="s">
        <v>399</v>
      </c>
      <c r="B96" t="s">
        <v>29</v>
      </c>
      <c r="C96" s="56"/>
      <c r="E96" s="56"/>
      <c r="G96" s="57"/>
      <c r="H96" s="6"/>
      <c r="I96" s="6" t="s">
        <v>394</v>
      </c>
      <c r="J96" s="6" t="s">
        <v>395</v>
      </c>
      <c r="K96" s="6" t="s">
        <v>396</v>
      </c>
      <c r="L96" s="6" t="s">
        <v>397</v>
      </c>
      <c r="M96" s="6" t="s">
        <v>398</v>
      </c>
    </row>
    <row r="97" spans="1:13" x14ac:dyDescent="0.2">
      <c r="A97" t="s">
        <v>400</v>
      </c>
      <c r="B97" t="s">
        <v>673</v>
      </c>
      <c r="C97" s="56"/>
      <c r="E97" s="56"/>
      <c r="G97" s="57"/>
      <c r="I97" s="6" t="s">
        <v>394</v>
      </c>
      <c r="J97" s="6" t="s">
        <v>395</v>
      </c>
      <c r="K97" s="6" t="s">
        <v>396</v>
      </c>
      <c r="L97" s="6" t="s">
        <v>397</v>
      </c>
      <c r="M97" s="6" t="s">
        <v>398</v>
      </c>
    </row>
    <row r="98" spans="1:13" x14ac:dyDescent="0.2">
      <c r="A98" t="s">
        <v>401</v>
      </c>
      <c r="B98" t="s">
        <v>402</v>
      </c>
      <c r="C98" s="56"/>
      <c r="E98" s="56"/>
      <c r="G98" s="57"/>
      <c r="H98" s="6"/>
      <c r="I98" s="6" t="s">
        <v>394</v>
      </c>
      <c r="J98" s="6" t="s">
        <v>395</v>
      </c>
      <c r="K98" s="6" t="s">
        <v>396</v>
      </c>
      <c r="L98" s="6" t="s">
        <v>397</v>
      </c>
      <c r="M98" s="6" t="s">
        <v>398</v>
      </c>
    </row>
    <row r="99" spans="1:13" x14ac:dyDescent="0.2">
      <c r="A99" t="s">
        <v>403</v>
      </c>
      <c r="B99" t="s">
        <v>404</v>
      </c>
      <c r="C99" s="56"/>
      <c r="E99" s="56"/>
      <c r="F99" s="6"/>
      <c r="G99" s="56"/>
      <c r="H99" s="6"/>
      <c r="I99" s="6" t="s">
        <v>394</v>
      </c>
      <c r="J99" s="6" t="s">
        <v>395</v>
      </c>
      <c r="K99" s="6" t="s">
        <v>396</v>
      </c>
      <c r="L99" s="6" t="s">
        <v>397</v>
      </c>
      <c r="M99" s="6" t="s">
        <v>398</v>
      </c>
    </row>
    <row r="100" spans="1:13" x14ac:dyDescent="0.2">
      <c r="A100" t="s">
        <v>405</v>
      </c>
      <c r="B100" t="s">
        <v>675</v>
      </c>
      <c r="C100" s="56"/>
      <c r="E100" s="56"/>
      <c r="G100" s="57"/>
      <c r="I100" s="6" t="s">
        <v>394</v>
      </c>
      <c r="J100" s="6" t="s">
        <v>395</v>
      </c>
      <c r="K100" s="6" t="s">
        <v>396</v>
      </c>
      <c r="L100" s="6" t="s">
        <v>397</v>
      </c>
      <c r="M100" s="6" t="s">
        <v>398</v>
      </c>
    </row>
    <row r="101" spans="1:13" x14ac:dyDescent="0.2">
      <c r="A101" t="s">
        <v>406</v>
      </c>
      <c r="B101" t="s">
        <v>31</v>
      </c>
      <c r="C101" s="56"/>
      <c r="E101" s="56"/>
      <c r="F101" s="6"/>
      <c r="G101" s="57"/>
      <c r="I101" s="6" t="s">
        <v>394</v>
      </c>
      <c r="J101" s="6" t="s">
        <v>395</v>
      </c>
      <c r="K101" s="6" t="s">
        <v>396</v>
      </c>
      <c r="L101" s="6" t="s">
        <v>397</v>
      </c>
      <c r="M101" s="6" t="s">
        <v>398</v>
      </c>
    </row>
    <row r="102" spans="1:13" x14ac:dyDescent="0.2">
      <c r="A102" t="s">
        <v>407</v>
      </c>
      <c r="B102" t="s">
        <v>408</v>
      </c>
      <c r="C102" s="56"/>
      <c r="E102" s="56"/>
      <c r="F102" s="6"/>
      <c r="G102" s="57"/>
      <c r="H102" s="6"/>
      <c r="I102" s="6" t="s">
        <v>394</v>
      </c>
      <c r="J102" s="6" t="s">
        <v>395</v>
      </c>
      <c r="K102" s="6" t="s">
        <v>396</v>
      </c>
      <c r="L102" s="6" t="s">
        <v>397</v>
      </c>
      <c r="M102" s="6" t="s">
        <v>398</v>
      </c>
    </row>
    <row r="103" spans="1:13" x14ac:dyDescent="0.2">
      <c r="A103" t="s">
        <v>409</v>
      </c>
      <c r="B103" t="s">
        <v>410</v>
      </c>
      <c r="C103" s="56"/>
      <c r="E103" s="56"/>
      <c r="F103" s="6"/>
      <c r="G103" s="57"/>
      <c r="H103" s="6"/>
      <c r="I103" s="6" t="s">
        <v>394</v>
      </c>
      <c r="J103" s="6" t="s">
        <v>395</v>
      </c>
      <c r="K103" s="6" t="s">
        <v>396</v>
      </c>
      <c r="L103" s="6" t="s">
        <v>397</v>
      </c>
      <c r="M103" s="6" t="s">
        <v>398</v>
      </c>
    </row>
    <row r="104" spans="1:13" x14ac:dyDescent="0.2">
      <c r="A104" t="s">
        <v>411</v>
      </c>
      <c r="B104" t="s">
        <v>108</v>
      </c>
      <c r="C104" s="56"/>
      <c r="E104" s="56"/>
      <c r="F104" s="6"/>
      <c r="G104" s="57"/>
      <c r="H104" s="6"/>
      <c r="I104" s="6" t="s">
        <v>394</v>
      </c>
      <c r="J104" s="6" t="s">
        <v>395</v>
      </c>
      <c r="K104" s="6" t="s">
        <v>396</v>
      </c>
      <c r="L104" s="6" t="s">
        <v>397</v>
      </c>
      <c r="M104" s="6" t="s">
        <v>398</v>
      </c>
    </row>
    <row r="105" spans="1:13" x14ac:dyDescent="0.2">
      <c r="A105" t="s">
        <v>412</v>
      </c>
      <c r="B105" t="s">
        <v>413</v>
      </c>
      <c r="C105" s="56"/>
      <c r="E105" s="56"/>
      <c r="F105" s="6"/>
      <c r="G105" s="57"/>
      <c r="H105" s="6"/>
      <c r="I105" s="6" t="s">
        <v>394</v>
      </c>
      <c r="J105" s="6" t="s">
        <v>395</v>
      </c>
      <c r="K105" s="6" t="s">
        <v>396</v>
      </c>
      <c r="L105" s="6" t="s">
        <v>397</v>
      </c>
      <c r="M105" s="6" t="s">
        <v>398</v>
      </c>
    </row>
    <row r="106" spans="1:13" x14ac:dyDescent="0.2">
      <c r="A106" t="s">
        <v>414</v>
      </c>
      <c r="B106" t="s">
        <v>415</v>
      </c>
      <c r="C106" s="56"/>
      <c r="E106" s="56"/>
      <c r="F106" s="6"/>
      <c r="G106" s="57"/>
      <c r="H106" s="6"/>
      <c r="I106" s="6" t="s">
        <v>394</v>
      </c>
      <c r="J106" s="6" t="s">
        <v>395</v>
      </c>
      <c r="K106" s="6" t="s">
        <v>396</v>
      </c>
      <c r="L106" s="6" t="s">
        <v>397</v>
      </c>
      <c r="M106" s="6" t="s">
        <v>398</v>
      </c>
    </row>
    <row r="107" spans="1:13" x14ac:dyDescent="0.2">
      <c r="A107" t="s">
        <v>416</v>
      </c>
      <c r="B107" t="s">
        <v>417</v>
      </c>
      <c r="C107" s="56"/>
      <c r="E107" s="56"/>
      <c r="F107" s="6"/>
      <c r="G107" s="57"/>
      <c r="H107" s="6"/>
      <c r="I107" s="6" t="s">
        <v>394</v>
      </c>
      <c r="J107" s="6" t="s">
        <v>395</v>
      </c>
      <c r="K107" s="6" t="s">
        <v>396</v>
      </c>
      <c r="L107" s="6" t="s">
        <v>397</v>
      </c>
      <c r="M107" s="6" t="s">
        <v>398</v>
      </c>
    </row>
    <row r="108" spans="1:13" x14ac:dyDescent="0.2">
      <c r="A108" t="s">
        <v>418</v>
      </c>
      <c r="B108" t="s">
        <v>674</v>
      </c>
      <c r="C108" s="56"/>
      <c r="E108" s="56"/>
      <c r="G108" s="57"/>
      <c r="I108" s="6" t="s">
        <v>394</v>
      </c>
      <c r="J108" s="6" t="s">
        <v>395</v>
      </c>
      <c r="K108" s="6" t="s">
        <v>396</v>
      </c>
      <c r="L108" s="6" t="s">
        <v>397</v>
      </c>
      <c r="M108" s="6" t="s">
        <v>398</v>
      </c>
    </row>
    <row r="109" spans="1:13" x14ac:dyDescent="0.2">
      <c r="A109" t="s">
        <v>419</v>
      </c>
      <c r="B109" t="s">
        <v>676</v>
      </c>
      <c r="C109" s="56"/>
      <c r="E109" s="56"/>
      <c r="G109" s="57"/>
      <c r="I109" s="6" t="s">
        <v>394</v>
      </c>
      <c r="J109" s="6" t="s">
        <v>395</v>
      </c>
      <c r="K109" s="6" t="s">
        <v>396</v>
      </c>
      <c r="L109" s="6" t="s">
        <v>397</v>
      </c>
      <c r="M109" s="6" t="s">
        <v>398</v>
      </c>
    </row>
    <row r="110" spans="1:13" x14ac:dyDescent="0.2">
      <c r="A110" t="s">
        <v>420</v>
      </c>
      <c r="B110" t="s">
        <v>677</v>
      </c>
      <c r="C110" s="56"/>
      <c r="E110" s="56"/>
      <c r="G110" s="57"/>
      <c r="I110" s="6" t="s">
        <v>394</v>
      </c>
      <c r="J110" s="6" t="s">
        <v>395</v>
      </c>
      <c r="K110" s="6" t="s">
        <v>396</v>
      </c>
      <c r="L110" s="6" t="s">
        <v>397</v>
      </c>
      <c r="M110" s="6" t="s">
        <v>398</v>
      </c>
    </row>
    <row r="111" spans="1:13" x14ac:dyDescent="0.2">
      <c r="A111" t="s">
        <v>421</v>
      </c>
      <c r="B111" t="s">
        <v>678</v>
      </c>
      <c r="C111" s="56"/>
      <c r="E111" s="56"/>
      <c r="G111" s="57"/>
      <c r="I111" s="6" t="s">
        <v>394</v>
      </c>
      <c r="J111" s="6" t="s">
        <v>395</v>
      </c>
      <c r="K111" s="6" t="s">
        <v>396</v>
      </c>
      <c r="L111" s="6" t="s">
        <v>397</v>
      </c>
      <c r="M111" s="6" t="s">
        <v>398</v>
      </c>
    </row>
    <row r="112" spans="1:13" x14ac:dyDescent="0.2">
      <c r="A112" t="s">
        <v>422</v>
      </c>
      <c r="B112" t="s">
        <v>679</v>
      </c>
      <c r="C112" s="56"/>
      <c r="E112" s="56"/>
      <c r="G112" s="57"/>
      <c r="I112" s="6" t="s">
        <v>394</v>
      </c>
      <c r="J112" s="6" t="s">
        <v>395</v>
      </c>
      <c r="K112" s="6" t="s">
        <v>396</v>
      </c>
      <c r="L112" s="6" t="s">
        <v>397</v>
      </c>
      <c r="M112" s="6" t="s">
        <v>398</v>
      </c>
    </row>
    <row r="113" spans="1:13" x14ac:dyDescent="0.2">
      <c r="A113" t="s">
        <v>423</v>
      </c>
      <c r="B113" t="s">
        <v>63</v>
      </c>
      <c r="C113" s="56"/>
      <c r="E113" s="56"/>
      <c r="F113" s="6"/>
      <c r="G113" s="57"/>
      <c r="H113" s="6"/>
      <c r="I113" s="6" t="s">
        <v>394</v>
      </c>
      <c r="J113" s="6" t="s">
        <v>395</v>
      </c>
      <c r="K113" s="6" t="s">
        <v>424</v>
      </c>
      <c r="L113" s="6" t="s">
        <v>63</v>
      </c>
      <c r="M113" s="6" t="s">
        <v>398</v>
      </c>
    </row>
    <row r="114" spans="1:13" x14ac:dyDescent="0.2">
      <c r="A114" t="s">
        <v>425</v>
      </c>
      <c r="B114" t="s">
        <v>28</v>
      </c>
      <c r="C114" s="56"/>
      <c r="E114" s="56"/>
      <c r="F114" s="6"/>
      <c r="G114" s="57"/>
      <c r="H114" s="6"/>
      <c r="I114" s="6" t="s">
        <v>394</v>
      </c>
      <c r="J114" s="6" t="s">
        <v>395</v>
      </c>
      <c r="K114" s="6" t="s">
        <v>424</v>
      </c>
      <c r="L114" s="6" t="s">
        <v>63</v>
      </c>
      <c r="M114" s="6" t="s">
        <v>398</v>
      </c>
    </row>
    <row r="115" spans="1:13" x14ac:dyDescent="0.2">
      <c r="A115" t="s">
        <v>426</v>
      </c>
      <c r="B115" t="s">
        <v>30</v>
      </c>
      <c r="C115" s="56"/>
      <c r="E115" s="56"/>
      <c r="F115" s="6"/>
      <c r="G115" s="57"/>
      <c r="H115" s="6"/>
      <c r="I115" s="6" t="s">
        <v>394</v>
      </c>
      <c r="J115" s="6" t="s">
        <v>395</v>
      </c>
      <c r="K115" s="6" t="s">
        <v>424</v>
      </c>
      <c r="L115" s="6" t="s">
        <v>63</v>
      </c>
      <c r="M115" s="6" t="s">
        <v>398</v>
      </c>
    </row>
    <row r="116" spans="1:13" x14ac:dyDescent="0.2">
      <c r="A116" t="s">
        <v>427</v>
      </c>
      <c r="B116" t="s">
        <v>680</v>
      </c>
      <c r="C116" s="56"/>
      <c r="E116" s="56"/>
      <c r="F116" s="6"/>
      <c r="G116" s="57"/>
      <c r="H116" s="6"/>
      <c r="I116" s="6" t="s">
        <v>394</v>
      </c>
      <c r="J116" s="6" t="s">
        <v>395</v>
      </c>
      <c r="K116" s="6" t="s">
        <v>424</v>
      </c>
      <c r="L116" s="6" t="s">
        <v>63</v>
      </c>
      <c r="M116" s="6" t="s">
        <v>398</v>
      </c>
    </row>
    <row r="117" spans="1:13" x14ac:dyDescent="0.2">
      <c r="A117" t="s">
        <v>428</v>
      </c>
      <c r="B117" t="s">
        <v>681</v>
      </c>
      <c r="C117" s="56"/>
      <c r="E117" s="56"/>
      <c r="F117" s="6"/>
      <c r="G117" s="57"/>
      <c r="H117" s="6"/>
      <c r="I117" s="6" t="s">
        <v>429</v>
      </c>
      <c r="J117" s="6" t="s">
        <v>106</v>
      </c>
      <c r="K117" s="6" t="s">
        <v>430</v>
      </c>
      <c r="L117" s="6" t="s">
        <v>106</v>
      </c>
      <c r="M117" s="6" t="s">
        <v>431</v>
      </c>
    </row>
    <row r="118" spans="1:13" x14ac:dyDescent="0.2">
      <c r="A118" t="s">
        <v>432</v>
      </c>
      <c r="B118" t="s">
        <v>433</v>
      </c>
      <c r="C118" s="56"/>
      <c r="E118" s="56"/>
      <c r="F118" s="6"/>
      <c r="G118" s="57"/>
      <c r="H118" s="6"/>
      <c r="I118" s="6" t="s">
        <v>429</v>
      </c>
      <c r="J118" s="6" t="s">
        <v>106</v>
      </c>
      <c r="K118" s="6" t="s">
        <v>430</v>
      </c>
      <c r="L118" s="6" t="s">
        <v>106</v>
      </c>
      <c r="M118" s="6" t="s">
        <v>431</v>
      </c>
    </row>
    <row r="119" spans="1:13" x14ac:dyDescent="0.2">
      <c r="A119" t="s">
        <v>434</v>
      </c>
      <c r="B119" t="s">
        <v>139</v>
      </c>
      <c r="C119" s="56"/>
      <c r="E119" s="56"/>
      <c r="F119" s="6"/>
      <c r="G119" s="57"/>
      <c r="H119" s="6"/>
      <c r="I119" s="6" t="s">
        <v>429</v>
      </c>
      <c r="J119" s="6" t="s">
        <v>106</v>
      </c>
      <c r="K119" s="6" t="s">
        <v>430</v>
      </c>
      <c r="L119" s="6" t="s">
        <v>106</v>
      </c>
      <c r="M119" s="6" t="s">
        <v>431</v>
      </c>
    </row>
    <row r="120" spans="1:13" x14ac:dyDescent="0.2">
      <c r="A120" t="s">
        <v>435</v>
      </c>
      <c r="B120" t="s">
        <v>25</v>
      </c>
      <c r="C120" s="56"/>
      <c r="E120" s="56"/>
      <c r="F120" s="6"/>
      <c r="G120" s="57"/>
      <c r="H120" s="6"/>
      <c r="I120" s="6" t="s">
        <v>429</v>
      </c>
      <c r="J120" s="6" t="s">
        <v>106</v>
      </c>
      <c r="K120" s="6" t="s">
        <v>430</v>
      </c>
      <c r="L120" s="6" t="s">
        <v>106</v>
      </c>
      <c r="M120" s="6" t="s">
        <v>431</v>
      </c>
    </row>
    <row r="121" spans="1:13" x14ac:dyDescent="0.2">
      <c r="A121" t="s">
        <v>436</v>
      </c>
      <c r="B121" t="s">
        <v>140</v>
      </c>
      <c r="C121" s="56"/>
      <c r="E121" s="56"/>
      <c r="F121" s="6"/>
      <c r="G121" s="57"/>
      <c r="H121" s="6"/>
      <c r="I121" s="6" t="s">
        <v>429</v>
      </c>
      <c r="J121" s="6" t="s">
        <v>106</v>
      </c>
      <c r="K121" s="6" t="s">
        <v>430</v>
      </c>
      <c r="L121" s="6" t="s">
        <v>106</v>
      </c>
      <c r="M121" s="6" t="s">
        <v>431</v>
      </c>
    </row>
    <row r="122" spans="1:13" x14ac:dyDescent="0.2">
      <c r="A122" t="s">
        <v>437</v>
      </c>
      <c r="B122" t="s">
        <v>24</v>
      </c>
      <c r="C122" s="56"/>
      <c r="E122" s="56"/>
      <c r="F122" s="6"/>
      <c r="G122" s="57"/>
      <c r="H122" s="6"/>
      <c r="I122" s="6" t="s">
        <v>429</v>
      </c>
      <c r="J122" s="6" t="s">
        <v>106</v>
      </c>
      <c r="K122" s="6" t="s">
        <v>430</v>
      </c>
      <c r="L122" s="6" t="s">
        <v>106</v>
      </c>
      <c r="M122" s="6" t="s">
        <v>431</v>
      </c>
    </row>
    <row r="123" spans="1:13" x14ac:dyDescent="0.2">
      <c r="A123" t="s">
        <v>438</v>
      </c>
      <c r="B123" t="s">
        <v>439</v>
      </c>
      <c r="C123" s="56"/>
      <c r="E123" s="56"/>
      <c r="F123" s="6"/>
      <c r="G123" s="57"/>
      <c r="H123" s="6"/>
      <c r="I123" s="6" t="s">
        <v>440</v>
      </c>
      <c r="J123" s="6" t="s">
        <v>441</v>
      </c>
      <c r="K123" s="6" t="s">
        <v>442</v>
      </c>
      <c r="L123" s="6" t="s">
        <v>443</v>
      </c>
      <c r="M123" s="6" t="s">
        <v>444</v>
      </c>
    </row>
    <row r="124" spans="1:13" x14ac:dyDescent="0.2">
      <c r="A124" t="s">
        <v>445</v>
      </c>
      <c r="B124" t="s">
        <v>34</v>
      </c>
      <c r="C124" s="56"/>
      <c r="E124" s="56"/>
      <c r="F124" s="6"/>
      <c r="G124" s="57"/>
      <c r="I124" s="6" t="s">
        <v>440</v>
      </c>
      <c r="J124" s="6" t="s">
        <v>441</v>
      </c>
      <c r="K124" s="6" t="s">
        <v>442</v>
      </c>
      <c r="L124" s="6" t="s">
        <v>443</v>
      </c>
      <c r="M124" s="6" t="s">
        <v>444</v>
      </c>
    </row>
    <row r="125" spans="1:13" x14ac:dyDescent="0.2">
      <c r="A125" t="s">
        <v>446</v>
      </c>
      <c r="B125" t="s">
        <v>447</v>
      </c>
      <c r="C125" s="56"/>
      <c r="E125" s="56"/>
      <c r="G125" s="57"/>
      <c r="H125" s="6"/>
      <c r="I125" s="6" t="s">
        <v>448</v>
      </c>
      <c r="J125" s="6" t="s">
        <v>449</v>
      </c>
      <c r="K125" s="6" t="s">
        <v>450</v>
      </c>
      <c r="L125" s="6" t="s">
        <v>451</v>
      </c>
      <c r="M125" s="6" t="s">
        <v>452</v>
      </c>
    </row>
    <row r="126" spans="1:13" x14ac:dyDescent="0.2">
      <c r="A126" t="s">
        <v>453</v>
      </c>
      <c r="B126" t="s">
        <v>454</v>
      </c>
      <c r="C126" s="56"/>
      <c r="E126" s="56"/>
      <c r="F126" s="6"/>
      <c r="G126" s="57"/>
      <c r="H126" s="6"/>
      <c r="I126" s="6" t="s">
        <v>455</v>
      </c>
      <c r="J126" s="6" t="s">
        <v>53</v>
      </c>
      <c r="K126" s="6" t="s">
        <v>456</v>
      </c>
      <c r="L126" s="6" t="s">
        <v>457</v>
      </c>
      <c r="M126" s="6" t="s">
        <v>458</v>
      </c>
    </row>
    <row r="127" spans="1:13" x14ac:dyDescent="0.2">
      <c r="A127" t="s">
        <v>459</v>
      </c>
      <c r="B127" t="s">
        <v>35</v>
      </c>
      <c r="C127" s="56"/>
      <c r="E127" s="56"/>
      <c r="G127" s="57"/>
      <c r="I127" s="6"/>
      <c r="J127" s="6"/>
      <c r="K127" s="6"/>
      <c r="L127" s="6"/>
      <c r="M127" s="6"/>
    </row>
    <row r="128" spans="1:13" x14ac:dyDescent="0.2">
      <c r="A128" t="s">
        <v>460</v>
      </c>
      <c r="B128" t="s">
        <v>461</v>
      </c>
      <c r="C128" s="56"/>
      <c r="D128" s="6"/>
      <c r="E128" s="57"/>
      <c r="F128" s="6"/>
      <c r="G128" s="57"/>
      <c r="I128" s="6"/>
      <c r="J128" s="6"/>
      <c r="K128" s="6"/>
      <c r="L128" s="6"/>
      <c r="M128" s="6"/>
    </row>
    <row r="130" spans="3:8" x14ac:dyDescent="0.2">
      <c r="C130" s="6"/>
      <c r="D130" s="6"/>
      <c r="E130" s="6"/>
      <c r="F130" s="6"/>
      <c r="G130" s="6"/>
      <c r="H130" s="6"/>
    </row>
  </sheetData>
  <conditionalFormatting sqref="K4:L128">
    <cfRule type="cellIs" dxfId="20" priority="1" operator="equal">
      <formula>0</formula>
    </cfRule>
  </conditionalFormatting>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F74AF-B896-46CD-AD52-868593273F2D}">
  <sheetPr>
    <tabColor rgb="FFF4A589"/>
  </sheetPr>
  <dimension ref="A1:M135"/>
  <sheetViews>
    <sheetView workbookViewId="0">
      <selection activeCell="H135" sqref="C2:H135"/>
    </sheetView>
  </sheetViews>
  <sheetFormatPr defaultColWidth="8.85546875" defaultRowHeight="12.75" x14ac:dyDescent="0.2"/>
  <cols>
    <col min="1" max="1" width="9.42578125" style="47" bestFit="1" customWidth="1"/>
    <col min="2" max="2" width="51.42578125" style="47" bestFit="1" customWidth="1"/>
    <col min="3" max="4" width="20.42578125" style="47" bestFit="1" customWidth="1"/>
    <col min="5" max="5" width="23.42578125" style="47" bestFit="1" customWidth="1"/>
    <col min="6" max="8" width="19.42578125" style="47" bestFit="1" customWidth="1"/>
    <col min="9" max="9" width="22.42578125" style="47" bestFit="1" customWidth="1"/>
    <col min="10" max="10" width="60.42578125" style="47" bestFit="1" customWidth="1"/>
    <col min="11" max="11" width="25.42578125" style="47" bestFit="1" customWidth="1"/>
    <col min="12" max="12" width="50.42578125" style="47" bestFit="1" customWidth="1"/>
    <col min="13" max="13" width="19.42578125" style="47" bestFit="1" customWidth="1"/>
    <col min="14" max="16384" width="8.85546875" style="47"/>
  </cols>
  <sheetData>
    <row r="1" spans="1:13" x14ac:dyDescent="0.2">
      <c r="A1" s="49" t="s">
        <v>205</v>
      </c>
      <c r="B1" s="49" t="s">
        <v>206</v>
      </c>
      <c r="C1" s="49" t="s">
        <v>207</v>
      </c>
      <c r="D1" s="49" t="s">
        <v>208</v>
      </c>
      <c r="E1" s="49" t="s">
        <v>209</v>
      </c>
      <c r="F1" s="49" t="s">
        <v>210</v>
      </c>
      <c r="G1" s="49" t="s">
        <v>211</v>
      </c>
      <c r="H1" s="49" t="s">
        <v>212</v>
      </c>
      <c r="I1" s="49" t="s">
        <v>93</v>
      </c>
      <c r="J1" s="49" t="s">
        <v>213</v>
      </c>
      <c r="K1" s="49" t="s">
        <v>214</v>
      </c>
      <c r="L1" s="49" t="s">
        <v>38</v>
      </c>
      <c r="M1" s="49" t="s">
        <v>215</v>
      </c>
    </row>
    <row r="2" spans="1:13" x14ac:dyDescent="0.2">
      <c r="A2" s="47" t="s">
        <v>216</v>
      </c>
      <c r="B2" s="47" t="s">
        <v>135</v>
      </c>
      <c r="C2" s="48"/>
      <c r="D2" s="48"/>
      <c r="E2" s="48"/>
      <c r="I2" s="47" t="s">
        <v>217</v>
      </c>
      <c r="J2" s="47" t="s">
        <v>84</v>
      </c>
      <c r="K2" s="47" t="s">
        <v>218</v>
      </c>
      <c r="L2" s="47" t="s">
        <v>185</v>
      </c>
    </row>
    <row r="3" spans="1:13" x14ac:dyDescent="0.2">
      <c r="A3" s="47" t="s">
        <v>219</v>
      </c>
      <c r="B3" s="47" t="s">
        <v>220</v>
      </c>
      <c r="C3" s="48"/>
      <c r="D3" s="48"/>
      <c r="E3" s="48"/>
      <c r="I3" s="47" t="s">
        <v>217</v>
      </c>
      <c r="J3" s="47" t="s">
        <v>84</v>
      </c>
      <c r="K3" s="47" t="s">
        <v>218</v>
      </c>
      <c r="L3" s="47" t="s">
        <v>185</v>
      </c>
    </row>
    <row r="4" spans="1:13" x14ac:dyDescent="0.2">
      <c r="A4" s="47" t="s">
        <v>221</v>
      </c>
      <c r="B4" s="47" t="s">
        <v>222</v>
      </c>
      <c r="C4" s="48"/>
      <c r="D4" s="48"/>
      <c r="E4" s="48"/>
      <c r="I4" s="47" t="s">
        <v>217</v>
      </c>
      <c r="J4" s="47" t="s">
        <v>84</v>
      </c>
      <c r="K4" s="47" t="s">
        <v>218</v>
      </c>
      <c r="L4" s="47" t="s">
        <v>185</v>
      </c>
    </row>
    <row r="5" spans="1:13" x14ac:dyDescent="0.2">
      <c r="A5" s="47" t="s">
        <v>223</v>
      </c>
      <c r="B5" s="47" t="s">
        <v>132</v>
      </c>
      <c r="C5" s="48"/>
      <c r="D5" s="48"/>
      <c r="E5" s="48"/>
      <c r="H5" s="48"/>
      <c r="I5" s="47" t="s">
        <v>217</v>
      </c>
      <c r="J5" s="47" t="s">
        <v>84</v>
      </c>
      <c r="K5" s="47" t="s">
        <v>218</v>
      </c>
      <c r="L5" s="47" t="s">
        <v>185</v>
      </c>
    </row>
    <row r="6" spans="1:13" x14ac:dyDescent="0.2">
      <c r="A6" s="47" t="s">
        <v>224</v>
      </c>
      <c r="B6" s="47" t="s">
        <v>133</v>
      </c>
      <c r="C6" s="48"/>
      <c r="D6" s="48"/>
      <c r="E6" s="48"/>
      <c r="I6" s="47" t="s">
        <v>217</v>
      </c>
      <c r="J6" s="47" t="s">
        <v>84</v>
      </c>
      <c r="K6" s="47" t="s">
        <v>218</v>
      </c>
      <c r="L6" s="47" t="s">
        <v>185</v>
      </c>
    </row>
    <row r="7" spans="1:13" x14ac:dyDescent="0.2">
      <c r="A7" s="47" t="s">
        <v>225</v>
      </c>
      <c r="B7" s="47" t="s">
        <v>136</v>
      </c>
      <c r="C7" s="48"/>
      <c r="D7" s="48"/>
      <c r="E7" s="48"/>
      <c r="H7" s="48"/>
      <c r="I7" s="47" t="s">
        <v>217</v>
      </c>
      <c r="J7" s="47" t="s">
        <v>84</v>
      </c>
      <c r="K7" s="47" t="s">
        <v>218</v>
      </c>
      <c r="L7" s="47" t="s">
        <v>185</v>
      </c>
    </row>
    <row r="8" spans="1:13" x14ac:dyDescent="0.2">
      <c r="A8" s="47" t="s">
        <v>226</v>
      </c>
      <c r="B8" s="47" t="s">
        <v>137</v>
      </c>
      <c r="C8" s="48"/>
      <c r="D8" s="48"/>
      <c r="E8" s="48"/>
      <c r="I8" s="47" t="s">
        <v>217</v>
      </c>
      <c r="J8" s="47" t="s">
        <v>84</v>
      </c>
      <c r="K8" s="47" t="s">
        <v>218</v>
      </c>
      <c r="L8" s="47" t="s">
        <v>185</v>
      </c>
    </row>
    <row r="9" spans="1:13" x14ac:dyDescent="0.2">
      <c r="A9" s="47" t="s">
        <v>227</v>
      </c>
      <c r="B9" s="47" t="s">
        <v>138</v>
      </c>
      <c r="C9" s="48"/>
      <c r="D9" s="48"/>
      <c r="E9" s="48"/>
      <c r="I9" s="47" t="s">
        <v>217</v>
      </c>
      <c r="J9" s="47" t="s">
        <v>84</v>
      </c>
      <c r="K9" s="47" t="s">
        <v>218</v>
      </c>
      <c r="L9" s="47" t="s">
        <v>185</v>
      </c>
    </row>
    <row r="10" spans="1:13" x14ac:dyDescent="0.2">
      <c r="A10" s="47" t="s">
        <v>228</v>
      </c>
      <c r="B10" s="47" t="s">
        <v>8</v>
      </c>
      <c r="C10" s="48"/>
      <c r="D10" s="48"/>
      <c r="E10" s="48"/>
      <c r="I10" s="47" t="s">
        <v>217</v>
      </c>
      <c r="J10" s="47" t="s">
        <v>84</v>
      </c>
      <c r="K10" s="47" t="s">
        <v>218</v>
      </c>
      <c r="L10" s="47" t="s">
        <v>185</v>
      </c>
    </row>
    <row r="11" spans="1:13" x14ac:dyDescent="0.2">
      <c r="A11" s="47" t="s">
        <v>229</v>
      </c>
      <c r="B11" s="47" t="s">
        <v>230</v>
      </c>
      <c r="C11" s="48"/>
      <c r="D11" s="48"/>
      <c r="E11" s="48"/>
      <c r="H11" s="48"/>
      <c r="I11" s="47" t="s">
        <v>217</v>
      </c>
      <c r="J11" s="47" t="s">
        <v>84</v>
      </c>
      <c r="K11" s="47" t="s">
        <v>231</v>
      </c>
      <c r="L11" s="47" t="s">
        <v>232</v>
      </c>
    </row>
    <row r="12" spans="1:13" x14ac:dyDescent="0.2">
      <c r="A12" s="47" t="s">
        <v>233</v>
      </c>
      <c r="B12" s="47" t="s">
        <v>234</v>
      </c>
      <c r="C12" s="48"/>
      <c r="D12" s="48"/>
      <c r="E12" s="48"/>
      <c r="I12" s="47" t="s">
        <v>217</v>
      </c>
      <c r="J12" s="47" t="s">
        <v>84</v>
      </c>
      <c r="K12" s="47" t="s">
        <v>231</v>
      </c>
      <c r="L12" s="47" t="s">
        <v>232</v>
      </c>
    </row>
    <row r="13" spans="1:13" x14ac:dyDescent="0.2">
      <c r="A13" s="47" t="s">
        <v>235</v>
      </c>
      <c r="B13" s="47" t="s">
        <v>236</v>
      </c>
      <c r="C13" s="48"/>
      <c r="D13" s="48"/>
      <c r="E13" s="48"/>
      <c r="H13" s="48"/>
      <c r="I13" s="47" t="s">
        <v>217</v>
      </c>
      <c r="J13" s="47" t="s">
        <v>84</v>
      </c>
      <c r="K13" s="47" t="s">
        <v>231</v>
      </c>
      <c r="L13" s="47" t="s">
        <v>232</v>
      </c>
    </row>
    <row r="14" spans="1:13" x14ac:dyDescent="0.2">
      <c r="A14" s="47" t="s">
        <v>237</v>
      </c>
      <c r="B14" s="47" t="s">
        <v>238</v>
      </c>
      <c r="C14" s="48"/>
      <c r="D14" s="48"/>
      <c r="E14" s="48"/>
      <c r="I14" s="47" t="s">
        <v>217</v>
      </c>
      <c r="J14" s="47" t="s">
        <v>84</v>
      </c>
      <c r="K14" s="47" t="s">
        <v>231</v>
      </c>
      <c r="L14" s="47" t="s">
        <v>232</v>
      </c>
    </row>
    <row r="15" spans="1:13" x14ac:dyDescent="0.2">
      <c r="A15" s="47" t="s">
        <v>239</v>
      </c>
      <c r="B15" s="47" t="s">
        <v>9</v>
      </c>
      <c r="C15" s="48"/>
      <c r="D15" s="48"/>
      <c r="E15" s="48"/>
      <c r="I15" s="47" t="s">
        <v>240</v>
      </c>
      <c r="J15" s="47" t="s">
        <v>109</v>
      </c>
      <c r="K15" s="47" t="s">
        <v>241</v>
      </c>
      <c r="L15" s="47" t="s">
        <v>109</v>
      </c>
    </row>
    <row r="16" spans="1:13" x14ac:dyDescent="0.2">
      <c r="A16" s="47" t="s">
        <v>242</v>
      </c>
      <c r="B16" s="47" t="s">
        <v>243</v>
      </c>
      <c r="C16" s="48"/>
      <c r="D16" s="48"/>
      <c r="E16" s="48"/>
      <c r="I16" s="47" t="s">
        <v>240</v>
      </c>
      <c r="J16" s="47" t="s">
        <v>109</v>
      </c>
      <c r="K16" s="47" t="s">
        <v>241</v>
      </c>
      <c r="L16" s="47" t="s">
        <v>109</v>
      </c>
    </row>
    <row r="17" spans="1:12" x14ac:dyDescent="0.2">
      <c r="A17" s="47" t="s">
        <v>244</v>
      </c>
      <c r="B17" s="47" t="s">
        <v>10</v>
      </c>
      <c r="C17" s="48"/>
      <c r="D17" s="48"/>
      <c r="E17" s="48"/>
      <c r="I17" s="47" t="s">
        <v>240</v>
      </c>
      <c r="J17" s="47" t="s">
        <v>109</v>
      </c>
      <c r="K17" s="47" t="s">
        <v>241</v>
      </c>
      <c r="L17" s="47" t="s">
        <v>109</v>
      </c>
    </row>
    <row r="18" spans="1:12" x14ac:dyDescent="0.2">
      <c r="A18" s="47" t="s">
        <v>245</v>
      </c>
      <c r="B18" s="47" t="s">
        <v>127</v>
      </c>
      <c r="D18" s="48"/>
      <c r="I18" s="47" t="s">
        <v>240</v>
      </c>
      <c r="J18" s="47" t="s">
        <v>109</v>
      </c>
      <c r="K18" s="47" t="s">
        <v>241</v>
      </c>
      <c r="L18" s="47" t="s">
        <v>109</v>
      </c>
    </row>
    <row r="19" spans="1:12" x14ac:dyDescent="0.2">
      <c r="A19" s="47" t="s">
        <v>246</v>
      </c>
      <c r="B19" s="47" t="s">
        <v>130</v>
      </c>
      <c r="I19" s="47" t="s">
        <v>240</v>
      </c>
      <c r="J19" s="47" t="s">
        <v>109</v>
      </c>
      <c r="K19" s="47" t="s">
        <v>241</v>
      </c>
      <c r="L19" s="47" t="s">
        <v>109</v>
      </c>
    </row>
    <row r="20" spans="1:12" x14ac:dyDescent="0.2">
      <c r="A20" s="47" t="s">
        <v>247</v>
      </c>
      <c r="B20" s="47" t="s">
        <v>42</v>
      </c>
      <c r="C20" s="48"/>
      <c r="D20" s="48"/>
      <c r="E20" s="48"/>
      <c r="I20" s="47" t="s">
        <v>240</v>
      </c>
      <c r="J20" s="47" t="s">
        <v>109</v>
      </c>
      <c r="K20" s="47" t="s">
        <v>241</v>
      </c>
      <c r="L20" s="47" t="s">
        <v>109</v>
      </c>
    </row>
    <row r="21" spans="1:12" x14ac:dyDescent="0.2">
      <c r="A21" s="47" t="s">
        <v>248</v>
      </c>
      <c r="B21" s="47" t="s">
        <v>11</v>
      </c>
      <c r="C21" s="48"/>
      <c r="D21" s="48"/>
      <c r="E21" s="48"/>
      <c r="I21" s="47" t="s">
        <v>240</v>
      </c>
      <c r="J21" s="47" t="s">
        <v>109</v>
      </c>
      <c r="K21" s="47" t="s">
        <v>241</v>
      </c>
      <c r="L21" s="47" t="s">
        <v>109</v>
      </c>
    </row>
    <row r="22" spans="1:12" x14ac:dyDescent="0.2">
      <c r="A22" s="47" t="s">
        <v>249</v>
      </c>
      <c r="B22" s="47" t="s">
        <v>650</v>
      </c>
      <c r="C22" s="48"/>
      <c r="D22" s="48"/>
      <c r="E22" s="48"/>
      <c r="I22" s="47" t="s">
        <v>250</v>
      </c>
      <c r="J22" s="47" t="s">
        <v>85</v>
      </c>
      <c r="K22" s="47" t="s">
        <v>251</v>
      </c>
      <c r="L22" s="47" t="s">
        <v>85</v>
      </c>
    </row>
    <row r="23" spans="1:12" x14ac:dyDescent="0.2">
      <c r="A23" s="47" t="s">
        <v>252</v>
      </c>
      <c r="B23" s="47" t="s">
        <v>651</v>
      </c>
      <c r="C23" s="48"/>
      <c r="D23" s="48"/>
      <c r="E23" s="48"/>
      <c r="I23" s="47" t="s">
        <v>250</v>
      </c>
      <c r="J23" s="47" t="s">
        <v>85</v>
      </c>
      <c r="K23" s="47" t="s">
        <v>251</v>
      </c>
      <c r="L23" s="47" t="s">
        <v>85</v>
      </c>
    </row>
    <row r="24" spans="1:12" x14ac:dyDescent="0.2">
      <c r="A24" s="47" t="s">
        <v>253</v>
      </c>
      <c r="B24" s="47" t="s">
        <v>652</v>
      </c>
      <c r="C24" s="48"/>
      <c r="D24" s="48"/>
      <c r="E24" s="48"/>
      <c r="I24" s="47" t="s">
        <v>250</v>
      </c>
      <c r="J24" s="47" t="s">
        <v>85</v>
      </c>
      <c r="K24" s="47" t="s">
        <v>251</v>
      </c>
      <c r="L24" s="47" t="s">
        <v>85</v>
      </c>
    </row>
    <row r="25" spans="1:12" x14ac:dyDescent="0.2">
      <c r="A25" s="47" t="s">
        <v>529</v>
      </c>
      <c r="B25" s="47" t="s">
        <v>528</v>
      </c>
      <c r="I25" s="47" t="s">
        <v>250</v>
      </c>
      <c r="J25" s="47" t="s">
        <v>85</v>
      </c>
      <c r="K25" s="47" t="s">
        <v>251</v>
      </c>
      <c r="L25" s="47" t="s">
        <v>85</v>
      </c>
    </row>
    <row r="26" spans="1:12" x14ac:dyDescent="0.2">
      <c r="A26" s="47" t="s">
        <v>254</v>
      </c>
      <c r="B26" s="47" t="s">
        <v>255</v>
      </c>
      <c r="C26" s="48"/>
      <c r="D26" s="48"/>
      <c r="E26" s="48"/>
      <c r="I26" s="47" t="s">
        <v>256</v>
      </c>
      <c r="J26" s="47" t="s">
        <v>94</v>
      </c>
      <c r="K26" s="47" t="s">
        <v>257</v>
      </c>
      <c r="L26" s="47" t="s">
        <v>94</v>
      </c>
    </row>
    <row r="27" spans="1:12" x14ac:dyDescent="0.2">
      <c r="A27" s="47" t="s">
        <v>258</v>
      </c>
      <c r="B27" s="47" t="s">
        <v>259</v>
      </c>
      <c r="C27" s="48"/>
      <c r="D27" s="48"/>
      <c r="E27" s="48"/>
      <c r="I27" s="47" t="s">
        <v>260</v>
      </c>
      <c r="J27" s="47" t="s">
        <v>261</v>
      </c>
      <c r="K27" s="47" t="s">
        <v>262</v>
      </c>
      <c r="L27" s="47" t="s">
        <v>261</v>
      </c>
    </row>
    <row r="28" spans="1:12" x14ac:dyDescent="0.2">
      <c r="A28" s="47" t="s">
        <v>263</v>
      </c>
      <c r="B28" s="47" t="s">
        <v>264</v>
      </c>
      <c r="C28" s="48"/>
      <c r="D28" s="48"/>
      <c r="E28" s="48"/>
      <c r="I28" s="47" t="s">
        <v>260</v>
      </c>
      <c r="J28" s="47" t="s">
        <v>261</v>
      </c>
      <c r="K28" s="47" t="s">
        <v>262</v>
      </c>
      <c r="L28" s="47" t="s">
        <v>261</v>
      </c>
    </row>
    <row r="29" spans="1:12" x14ac:dyDescent="0.2">
      <c r="A29" s="47" t="s">
        <v>265</v>
      </c>
      <c r="B29" s="47" t="s">
        <v>266</v>
      </c>
      <c r="C29" s="48"/>
      <c r="E29" s="48"/>
      <c r="I29" s="47" t="s">
        <v>267</v>
      </c>
      <c r="J29" s="47" t="s">
        <v>268</v>
      </c>
      <c r="K29" s="47" t="s">
        <v>269</v>
      </c>
      <c r="L29" s="47" t="s">
        <v>268</v>
      </c>
    </row>
    <row r="30" spans="1:12" x14ac:dyDescent="0.2">
      <c r="A30" s="47" t="s">
        <v>270</v>
      </c>
      <c r="B30" s="47" t="s">
        <v>271</v>
      </c>
      <c r="C30" s="48"/>
      <c r="D30" s="48"/>
      <c r="E30" s="48"/>
      <c r="I30" s="47" t="s">
        <v>267</v>
      </c>
      <c r="J30" s="47" t="s">
        <v>268</v>
      </c>
      <c r="K30" s="47" t="s">
        <v>269</v>
      </c>
      <c r="L30" s="47" t="s">
        <v>268</v>
      </c>
    </row>
    <row r="31" spans="1:12" x14ac:dyDescent="0.2">
      <c r="A31" s="47" t="s">
        <v>272</v>
      </c>
      <c r="B31" s="47" t="s">
        <v>273</v>
      </c>
      <c r="C31" s="48"/>
      <c r="D31" s="48"/>
      <c r="E31" s="48"/>
      <c r="I31" s="47" t="s">
        <v>267</v>
      </c>
      <c r="J31" s="47" t="s">
        <v>268</v>
      </c>
      <c r="K31" s="47" t="s">
        <v>269</v>
      </c>
      <c r="L31" s="47" t="s">
        <v>268</v>
      </c>
    </row>
    <row r="32" spans="1:12" x14ac:dyDescent="0.2">
      <c r="A32" s="47" t="s">
        <v>274</v>
      </c>
      <c r="B32" s="47" t="s">
        <v>13</v>
      </c>
      <c r="I32" s="47" t="s">
        <v>267</v>
      </c>
      <c r="J32" s="47" t="s">
        <v>268</v>
      </c>
      <c r="K32" s="47" t="s">
        <v>269</v>
      </c>
      <c r="L32" s="47" t="s">
        <v>268</v>
      </c>
    </row>
    <row r="33" spans="1:13" x14ac:dyDescent="0.2">
      <c r="A33" s="47" t="s">
        <v>275</v>
      </c>
      <c r="B33" s="47" t="s">
        <v>276</v>
      </c>
      <c r="D33" s="48"/>
      <c r="I33" s="47" t="s">
        <v>267</v>
      </c>
      <c r="J33" s="47" t="s">
        <v>268</v>
      </c>
      <c r="K33" s="47" t="s">
        <v>269</v>
      </c>
      <c r="L33" s="47" t="s">
        <v>268</v>
      </c>
    </row>
    <row r="34" spans="1:13" x14ac:dyDescent="0.2">
      <c r="A34" s="47" t="s">
        <v>277</v>
      </c>
      <c r="B34" s="47" t="s">
        <v>15</v>
      </c>
      <c r="C34" s="48"/>
      <c r="D34" s="48"/>
      <c r="E34" s="48"/>
      <c r="I34" s="47" t="s">
        <v>267</v>
      </c>
      <c r="J34" s="47" t="s">
        <v>268</v>
      </c>
      <c r="K34" s="47" t="s">
        <v>269</v>
      </c>
      <c r="L34" s="47" t="s">
        <v>268</v>
      </c>
    </row>
    <row r="35" spans="1:13" x14ac:dyDescent="0.2">
      <c r="A35" s="47" t="s">
        <v>278</v>
      </c>
      <c r="B35" s="47" t="s">
        <v>12</v>
      </c>
      <c r="C35" s="48"/>
      <c r="D35" s="48"/>
      <c r="E35" s="48"/>
      <c r="I35" s="47" t="s">
        <v>267</v>
      </c>
      <c r="J35" s="47" t="s">
        <v>268</v>
      </c>
      <c r="K35" s="47" t="s">
        <v>269</v>
      </c>
      <c r="L35" s="47" t="s">
        <v>268</v>
      </c>
    </row>
    <row r="36" spans="1:13" x14ac:dyDescent="0.2">
      <c r="A36" s="47" t="s">
        <v>279</v>
      </c>
      <c r="B36" s="47" t="s">
        <v>280</v>
      </c>
      <c r="I36" s="47" t="s">
        <v>267</v>
      </c>
      <c r="J36" s="47" t="s">
        <v>268</v>
      </c>
      <c r="K36" s="47" t="s">
        <v>269</v>
      </c>
      <c r="L36" s="47" t="s">
        <v>268</v>
      </c>
    </row>
    <row r="37" spans="1:13" x14ac:dyDescent="0.2">
      <c r="A37" s="47" t="s">
        <v>281</v>
      </c>
      <c r="B37" s="47" t="s">
        <v>653</v>
      </c>
      <c r="D37" s="48"/>
      <c r="I37" s="47" t="s">
        <v>267</v>
      </c>
      <c r="J37" s="47" t="s">
        <v>268</v>
      </c>
      <c r="K37" s="47" t="s">
        <v>269</v>
      </c>
      <c r="L37" s="47" t="s">
        <v>268</v>
      </c>
    </row>
    <row r="38" spans="1:13" x14ac:dyDescent="0.2">
      <c r="A38" s="47" t="s">
        <v>282</v>
      </c>
      <c r="B38" s="47" t="s">
        <v>654</v>
      </c>
      <c r="D38" s="48"/>
      <c r="I38" s="47" t="s">
        <v>267</v>
      </c>
      <c r="J38" s="47" t="s">
        <v>268</v>
      </c>
      <c r="K38" s="47" t="s">
        <v>269</v>
      </c>
      <c r="L38" s="47" t="s">
        <v>268</v>
      </c>
    </row>
    <row r="39" spans="1:13" x14ac:dyDescent="0.2">
      <c r="A39" s="47" t="s">
        <v>283</v>
      </c>
      <c r="B39" s="47" t="s">
        <v>14</v>
      </c>
      <c r="C39" s="48"/>
      <c r="D39" s="48"/>
      <c r="E39" s="48"/>
      <c r="I39" s="47" t="s">
        <v>267</v>
      </c>
      <c r="J39" s="47" t="s">
        <v>268</v>
      </c>
      <c r="K39" s="47" t="s">
        <v>269</v>
      </c>
      <c r="L39" s="47" t="s">
        <v>268</v>
      </c>
    </row>
    <row r="40" spans="1:13" x14ac:dyDescent="0.2">
      <c r="A40" s="47" t="s">
        <v>284</v>
      </c>
      <c r="B40" s="47" t="s">
        <v>21</v>
      </c>
      <c r="F40" s="48"/>
      <c r="G40" s="48"/>
      <c r="H40" s="48"/>
      <c r="I40" s="47" t="s">
        <v>285</v>
      </c>
      <c r="J40" s="47" t="s">
        <v>286</v>
      </c>
      <c r="K40" s="47" t="s">
        <v>287</v>
      </c>
      <c r="L40" s="47" t="s">
        <v>288</v>
      </c>
      <c r="M40" s="47" t="s">
        <v>217</v>
      </c>
    </row>
    <row r="41" spans="1:13" x14ac:dyDescent="0.2">
      <c r="A41" s="47" t="s">
        <v>289</v>
      </c>
      <c r="B41" s="47" t="s">
        <v>129</v>
      </c>
      <c r="F41" s="48"/>
      <c r="G41" s="48"/>
      <c r="I41" s="47" t="s">
        <v>285</v>
      </c>
      <c r="J41" s="47" t="s">
        <v>286</v>
      </c>
      <c r="K41" s="47" t="s">
        <v>287</v>
      </c>
      <c r="L41" s="47" t="s">
        <v>288</v>
      </c>
      <c r="M41" s="47" t="s">
        <v>217</v>
      </c>
    </row>
    <row r="42" spans="1:13" x14ac:dyDescent="0.2">
      <c r="A42" s="47" t="s">
        <v>290</v>
      </c>
      <c r="B42" s="47" t="s">
        <v>655</v>
      </c>
      <c r="F42" s="48"/>
      <c r="I42" s="47" t="s">
        <v>285</v>
      </c>
      <c r="J42" s="47" t="s">
        <v>286</v>
      </c>
      <c r="K42" s="47" t="s">
        <v>287</v>
      </c>
      <c r="L42" s="47" t="s">
        <v>288</v>
      </c>
      <c r="M42" s="47" t="s">
        <v>217</v>
      </c>
    </row>
    <row r="43" spans="1:13" x14ac:dyDescent="0.2">
      <c r="A43" s="47" t="s">
        <v>291</v>
      </c>
      <c r="B43" s="47" t="s">
        <v>292</v>
      </c>
      <c r="G43" s="48"/>
      <c r="H43" s="48"/>
      <c r="I43" s="47" t="s">
        <v>285</v>
      </c>
      <c r="J43" s="47" t="s">
        <v>286</v>
      </c>
      <c r="K43" s="47" t="s">
        <v>287</v>
      </c>
      <c r="L43" s="47" t="s">
        <v>288</v>
      </c>
      <c r="M43" s="47" t="s">
        <v>217</v>
      </c>
    </row>
    <row r="44" spans="1:13" x14ac:dyDescent="0.2">
      <c r="A44" s="47" t="s">
        <v>293</v>
      </c>
      <c r="B44" s="47" t="s">
        <v>656</v>
      </c>
      <c r="F44" s="48"/>
      <c r="G44" s="48"/>
      <c r="H44" s="48"/>
      <c r="I44" s="47" t="s">
        <v>285</v>
      </c>
      <c r="J44" s="47" t="s">
        <v>286</v>
      </c>
      <c r="K44" s="47" t="s">
        <v>287</v>
      </c>
      <c r="L44" s="47" t="s">
        <v>288</v>
      </c>
      <c r="M44" s="47" t="s">
        <v>217</v>
      </c>
    </row>
    <row r="45" spans="1:13" x14ac:dyDescent="0.2">
      <c r="A45" s="47" t="s">
        <v>294</v>
      </c>
      <c r="B45" s="47" t="s">
        <v>295</v>
      </c>
      <c r="F45" s="48"/>
      <c r="G45" s="48"/>
      <c r="I45" s="47" t="s">
        <v>285</v>
      </c>
      <c r="J45" s="47" t="s">
        <v>286</v>
      </c>
      <c r="K45" s="47" t="s">
        <v>287</v>
      </c>
      <c r="L45" s="47" t="s">
        <v>288</v>
      </c>
      <c r="M45" s="47" t="s">
        <v>217</v>
      </c>
    </row>
    <row r="46" spans="1:13" x14ac:dyDescent="0.2">
      <c r="A46" s="47" t="s">
        <v>296</v>
      </c>
      <c r="B46" s="47" t="s">
        <v>297</v>
      </c>
      <c r="F46" s="48"/>
      <c r="G46" s="48"/>
      <c r="H46" s="48"/>
      <c r="I46" s="47" t="s">
        <v>285</v>
      </c>
      <c r="J46" s="47" t="s">
        <v>286</v>
      </c>
      <c r="K46" s="47" t="s">
        <v>298</v>
      </c>
      <c r="L46" s="47" t="s">
        <v>299</v>
      </c>
      <c r="M46" s="47" t="s">
        <v>217</v>
      </c>
    </row>
    <row r="47" spans="1:13" x14ac:dyDescent="0.2">
      <c r="A47" s="47" t="s">
        <v>300</v>
      </c>
      <c r="B47" s="47" t="s">
        <v>16</v>
      </c>
      <c r="F47" s="48"/>
      <c r="G47" s="48"/>
      <c r="H47" s="48"/>
      <c r="I47" s="47" t="s">
        <v>285</v>
      </c>
      <c r="J47" s="47" t="s">
        <v>286</v>
      </c>
      <c r="K47" s="47" t="s">
        <v>301</v>
      </c>
      <c r="L47" s="47" t="s">
        <v>302</v>
      </c>
      <c r="M47" s="47" t="s">
        <v>217</v>
      </c>
    </row>
    <row r="48" spans="1:13" x14ac:dyDescent="0.2">
      <c r="A48" s="47" t="s">
        <v>303</v>
      </c>
      <c r="B48" s="47" t="s">
        <v>17</v>
      </c>
      <c r="F48" s="48"/>
      <c r="G48" s="48"/>
      <c r="H48" s="48"/>
      <c r="I48" s="47" t="s">
        <v>285</v>
      </c>
      <c r="J48" s="47" t="s">
        <v>286</v>
      </c>
      <c r="K48" s="47" t="s">
        <v>301</v>
      </c>
      <c r="L48" s="47" t="s">
        <v>302</v>
      </c>
      <c r="M48" s="47" t="s">
        <v>217</v>
      </c>
    </row>
    <row r="49" spans="1:13" x14ac:dyDescent="0.2">
      <c r="A49" s="47" t="s">
        <v>304</v>
      </c>
      <c r="B49" s="47" t="s">
        <v>657</v>
      </c>
      <c r="F49" s="48"/>
      <c r="G49" s="48"/>
      <c r="H49" s="48"/>
      <c r="I49" s="47" t="s">
        <v>285</v>
      </c>
      <c r="J49" s="47" t="s">
        <v>286</v>
      </c>
      <c r="K49" s="47" t="s">
        <v>301</v>
      </c>
      <c r="L49" s="47" t="s">
        <v>302</v>
      </c>
      <c r="M49" s="47" t="s">
        <v>217</v>
      </c>
    </row>
    <row r="50" spans="1:13" x14ac:dyDescent="0.2">
      <c r="A50" s="47" t="s">
        <v>305</v>
      </c>
      <c r="B50" s="47" t="s">
        <v>658</v>
      </c>
      <c r="F50" s="48"/>
      <c r="G50" s="48"/>
      <c r="H50" s="48"/>
      <c r="I50" s="47" t="s">
        <v>285</v>
      </c>
      <c r="J50" s="47" t="s">
        <v>286</v>
      </c>
      <c r="K50" s="47" t="s">
        <v>301</v>
      </c>
      <c r="L50" s="47" t="s">
        <v>302</v>
      </c>
      <c r="M50" s="47" t="s">
        <v>217</v>
      </c>
    </row>
    <row r="51" spans="1:13" x14ac:dyDescent="0.2">
      <c r="A51" s="47" t="s">
        <v>306</v>
      </c>
      <c r="B51" s="47" t="s">
        <v>18</v>
      </c>
      <c r="F51" s="48"/>
      <c r="G51" s="48"/>
      <c r="H51" s="48"/>
      <c r="I51" s="47" t="s">
        <v>285</v>
      </c>
      <c r="J51" s="47" t="s">
        <v>286</v>
      </c>
      <c r="K51" s="47" t="s">
        <v>301</v>
      </c>
      <c r="L51" s="47" t="s">
        <v>302</v>
      </c>
      <c r="M51" s="47" t="s">
        <v>217</v>
      </c>
    </row>
    <row r="52" spans="1:13" x14ac:dyDescent="0.2">
      <c r="A52" s="47" t="s">
        <v>307</v>
      </c>
      <c r="B52" s="47" t="s">
        <v>19</v>
      </c>
      <c r="F52" s="48"/>
      <c r="G52" s="48"/>
      <c r="H52" s="48"/>
      <c r="I52" s="47" t="s">
        <v>285</v>
      </c>
      <c r="J52" s="47" t="s">
        <v>286</v>
      </c>
      <c r="K52" s="47" t="s">
        <v>301</v>
      </c>
      <c r="L52" s="47" t="s">
        <v>302</v>
      </c>
      <c r="M52" s="47" t="s">
        <v>217</v>
      </c>
    </row>
    <row r="53" spans="1:13" x14ac:dyDescent="0.2">
      <c r="A53" s="47" t="s">
        <v>308</v>
      </c>
      <c r="B53" s="47" t="s">
        <v>20</v>
      </c>
      <c r="F53" s="48"/>
      <c r="G53" s="48"/>
      <c r="H53" s="48"/>
      <c r="I53" s="47" t="s">
        <v>285</v>
      </c>
      <c r="J53" s="47" t="s">
        <v>286</v>
      </c>
      <c r="K53" s="47" t="s">
        <v>301</v>
      </c>
      <c r="L53" s="47" t="s">
        <v>302</v>
      </c>
      <c r="M53" s="47" t="s">
        <v>217</v>
      </c>
    </row>
    <row r="54" spans="1:13" x14ac:dyDescent="0.2">
      <c r="A54" s="47" t="s">
        <v>309</v>
      </c>
      <c r="B54" s="47" t="s">
        <v>128</v>
      </c>
      <c r="F54" s="48"/>
      <c r="G54" s="48"/>
      <c r="H54" s="48"/>
      <c r="I54" s="47" t="s">
        <v>285</v>
      </c>
      <c r="J54" s="47" t="s">
        <v>286</v>
      </c>
      <c r="K54" s="47" t="s">
        <v>301</v>
      </c>
      <c r="L54" s="47" t="s">
        <v>302</v>
      </c>
      <c r="M54" s="47" t="s">
        <v>217</v>
      </c>
    </row>
    <row r="55" spans="1:13" x14ac:dyDescent="0.2">
      <c r="A55" s="47" t="s">
        <v>310</v>
      </c>
      <c r="B55" s="47" t="s">
        <v>660</v>
      </c>
      <c r="F55" s="48"/>
      <c r="I55" s="47" t="s">
        <v>285</v>
      </c>
      <c r="J55" s="47" t="s">
        <v>286</v>
      </c>
      <c r="K55" s="47" t="s">
        <v>301</v>
      </c>
      <c r="L55" s="47" t="s">
        <v>302</v>
      </c>
      <c r="M55" s="47" t="s">
        <v>217</v>
      </c>
    </row>
    <row r="56" spans="1:13" x14ac:dyDescent="0.2">
      <c r="A56" s="47" t="s">
        <v>311</v>
      </c>
      <c r="B56" s="47" t="s">
        <v>659</v>
      </c>
      <c r="F56" s="48"/>
      <c r="I56" s="47" t="s">
        <v>285</v>
      </c>
      <c r="J56" s="47" t="s">
        <v>286</v>
      </c>
      <c r="K56" s="47" t="s">
        <v>301</v>
      </c>
      <c r="L56" s="47" t="s">
        <v>302</v>
      </c>
      <c r="M56" s="47" t="s">
        <v>217</v>
      </c>
    </row>
    <row r="57" spans="1:13" x14ac:dyDescent="0.2">
      <c r="A57" s="47" t="s">
        <v>312</v>
      </c>
      <c r="B57" s="47" t="s">
        <v>134</v>
      </c>
      <c r="F57" s="48"/>
      <c r="G57" s="48"/>
      <c r="H57" s="48"/>
      <c r="I57" s="47" t="s">
        <v>285</v>
      </c>
      <c r="J57" s="47" t="s">
        <v>286</v>
      </c>
      <c r="K57" s="47" t="s">
        <v>301</v>
      </c>
      <c r="L57" s="47" t="s">
        <v>302</v>
      </c>
      <c r="M57" s="47" t="s">
        <v>217</v>
      </c>
    </row>
    <row r="58" spans="1:13" x14ac:dyDescent="0.2">
      <c r="A58" s="47" t="s">
        <v>313</v>
      </c>
      <c r="B58" s="47" t="s">
        <v>22</v>
      </c>
      <c r="F58" s="48"/>
      <c r="G58" s="48"/>
      <c r="H58" s="48"/>
      <c r="I58" s="47" t="s">
        <v>285</v>
      </c>
      <c r="J58" s="47" t="s">
        <v>286</v>
      </c>
      <c r="K58" s="47" t="s">
        <v>301</v>
      </c>
      <c r="L58" s="47" t="s">
        <v>302</v>
      </c>
      <c r="M58" s="47" t="s">
        <v>217</v>
      </c>
    </row>
    <row r="59" spans="1:13" x14ac:dyDescent="0.2">
      <c r="A59" s="47" t="s">
        <v>314</v>
      </c>
      <c r="B59" s="47" t="s">
        <v>23</v>
      </c>
      <c r="F59" s="48"/>
      <c r="G59" s="48"/>
      <c r="I59" s="47" t="s">
        <v>285</v>
      </c>
      <c r="J59" s="47" t="s">
        <v>286</v>
      </c>
      <c r="K59" s="47" t="s">
        <v>301</v>
      </c>
      <c r="L59" s="47" t="s">
        <v>302</v>
      </c>
      <c r="M59" s="47" t="s">
        <v>217</v>
      </c>
    </row>
    <row r="60" spans="1:13" x14ac:dyDescent="0.2">
      <c r="A60" s="47" t="s">
        <v>315</v>
      </c>
      <c r="B60" s="47" t="s">
        <v>148</v>
      </c>
      <c r="F60" s="48"/>
      <c r="I60" s="47" t="s">
        <v>285</v>
      </c>
      <c r="J60" s="47" t="s">
        <v>286</v>
      </c>
      <c r="K60" s="47" t="s">
        <v>301</v>
      </c>
      <c r="L60" s="47" t="s">
        <v>302</v>
      </c>
      <c r="M60" s="47" t="s">
        <v>217</v>
      </c>
    </row>
    <row r="61" spans="1:13" x14ac:dyDescent="0.2">
      <c r="A61" s="47" t="s">
        <v>316</v>
      </c>
      <c r="B61" s="47" t="s">
        <v>317</v>
      </c>
      <c r="F61" s="48"/>
      <c r="G61" s="48"/>
      <c r="H61" s="48"/>
      <c r="I61" s="47" t="s">
        <v>318</v>
      </c>
      <c r="J61" s="47" t="s">
        <v>319</v>
      </c>
      <c r="K61" s="47" t="s">
        <v>320</v>
      </c>
      <c r="L61" s="47" t="s">
        <v>321</v>
      </c>
      <c r="M61" s="47" t="s">
        <v>322</v>
      </c>
    </row>
    <row r="62" spans="1:13" x14ac:dyDescent="0.2">
      <c r="A62" s="47" t="s">
        <v>527</v>
      </c>
      <c r="B62" s="47" t="s">
        <v>661</v>
      </c>
      <c r="G62" s="48"/>
      <c r="H62" s="48"/>
      <c r="I62" s="47" t="s">
        <v>318</v>
      </c>
      <c r="J62" s="47" t="s">
        <v>319</v>
      </c>
      <c r="K62" s="47" t="s">
        <v>320</v>
      </c>
      <c r="L62" s="47" t="s">
        <v>321</v>
      </c>
      <c r="M62" s="47" t="s">
        <v>322</v>
      </c>
    </row>
    <row r="63" spans="1:13" x14ac:dyDescent="0.2">
      <c r="A63" s="47" t="s">
        <v>325</v>
      </c>
      <c r="B63" s="47" t="s">
        <v>662</v>
      </c>
      <c r="F63" s="48"/>
      <c r="G63" s="48"/>
      <c r="H63" s="48"/>
      <c r="I63" s="47" t="s">
        <v>318</v>
      </c>
      <c r="J63" s="47" t="s">
        <v>319</v>
      </c>
      <c r="K63" s="47" t="s">
        <v>320</v>
      </c>
      <c r="L63" s="47" t="s">
        <v>321</v>
      </c>
      <c r="M63" s="47" t="s">
        <v>322</v>
      </c>
    </row>
    <row r="64" spans="1:13" x14ac:dyDescent="0.2">
      <c r="A64" s="47" t="s">
        <v>526</v>
      </c>
      <c r="B64" s="47" t="s">
        <v>663</v>
      </c>
      <c r="H64" s="48"/>
      <c r="I64" s="47" t="s">
        <v>318</v>
      </c>
      <c r="J64" s="47" t="s">
        <v>319</v>
      </c>
      <c r="K64" s="47" t="s">
        <v>320</v>
      </c>
      <c r="L64" s="47" t="s">
        <v>321</v>
      </c>
      <c r="M64" s="47" t="s">
        <v>322</v>
      </c>
    </row>
    <row r="65" spans="1:13" x14ac:dyDescent="0.2">
      <c r="A65" s="47" t="s">
        <v>326</v>
      </c>
      <c r="B65" s="47" t="s">
        <v>664</v>
      </c>
      <c r="F65" s="48"/>
      <c r="G65" s="48"/>
      <c r="H65" s="48"/>
      <c r="I65" s="47" t="s">
        <v>318</v>
      </c>
      <c r="J65" s="47" t="s">
        <v>319</v>
      </c>
      <c r="K65" s="47" t="s">
        <v>320</v>
      </c>
      <c r="L65" s="47" t="s">
        <v>321</v>
      </c>
      <c r="M65" s="47" t="s">
        <v>322</v>
      </c>
    </row>
    <row r="66" spans="1:13" x14ac:dyDescent="0.2">
      <c r="A66" s="47" t="s">
        <v>327</v>
      </c>
      <c r="B66" s="47" t="s">
        <v>665</v>
      </c>
      <c r="F66" s="48"/>
      <c r="G66" s="48"/>
      <c r="H66" s="48"/>
      <c r="I66" s="47" t="s">
        <v>318</v>
      </c>
      <c r="J66" s="47" t="s">
        <v>319</v>
      </c>
      <c r="K66" s="47" t="s">
        <v>320</v>
      </c>
      <c r="L66" s="47" t="s">
        <v>321</v>
      </c>
      <c r="M66" s="47" t="s">
        <v>322</v>
      </c>
    </row>
    <row r="67" spans="1:13" x14ac:dyDescent="0.2">
      <c r="A67" s="47" t="s">
        <v>328</v>
      </c>
      <c r="B67" s="47" t="s">
        <v>663</v>
      </c>
      <c r="F67" s="48"/>
      <c r="H67" s="48"/>
      <c r="I67" s="47" t="s">
        <v>318</v>
      </c>
      <c r="J67" s="47" t="s">
        <v>319</v>
      </c>
      <c r="K67" s="47" t="s">
        <v>320</v>
      </c>
      <c r="L67" s="47" t="s">
        <v>321</v>
      </c>
      <c r="M67" s="47" t="s">
        <v>322</v>
      </c>
    </row>
    <row r="68" spans="1:13" x14ac:dyDescent="0.2">
      <c r="A68" s="47" t="s">
        <v>525</v>
      </c>
      <c r="B68" s="47" t="s">
        <v>663</v>
      </c>
      <c r="H68" s="48"/>
      <c r="I68" s="47" t="s">
        <v>318</v>
      </c>
      <c r="J68" s="47" t="s">
        <v>319</v>
      </c>
      <c r="K68" s="47" t="s">
        <v>320</v>
      </c>
      <c r="L68" s="47" t="s">
        <v>321</v>
      </c>
      <c r="M68" s="47" t="s">
        <v>322</v>
      </c>
    </row>
    <row r="69" spans="1:13" x14ac:dyDescent="0.2">
      <c r="A69" s="47" t="s">
        <v>329</v>
      </c>
      <c r="B69" s="47" t="s">
        <v>666</v>
      </c>
      <c r="F69" s="48"/>
      <c r="G69" s="48"/>
      <c r="I69" s="47" t="s">
        <v>318</v>
      </c>
      <c r="J69" s="47" t="s">
        <v>319</v>
      </c>
      <c r="K69" s="47" t="s">
        <v>320</v>
      </c>
      <c r="L69" s="47" t="s">
        <v>321</v>
      </c>
      <c r="M69" s="47" t="s">
        <v>322</v>
      </c>
    </row>
    <row r="70" spans="1:13" x14ac:dyDescent="0.2">
      <c r="A70" s="47" t="s">
        <v>330</v>
      </c>
      <c r="B70" s="47" t="s">
        <v>667</v>
      </c>
      <c r="F70" s="48"/>
      <c r="G70" s="48"/>
      <c r="H70" s="48"/>
      <c r="I70" s="47" t="s">
        <v>318</v>
      </c>
      <c r="J70" s="47" t="s">
        <v>319</v>
      </c>
      <c r="K70" s="47" t="s">
        <v>320</v>
      </c>
      <c r="L70" s="47" t="s">
        <v>321</v>
      </c>
      <c r="M70" s="47" t="s">
        <v>322</v>
      </c>
    </row>
    <row r="71" spans="1:13" x14ac:dyDescent="0.2">
      <c r="A71" s="47" t="s">
        <v>331</v>
      </c>
      <c r="B71" s="47" t="s">
        <v>668</v>
      </c>
      <c r="F71" s="48"/>
      <c r="H71" s="48"/>
      <c r="I71" s="47" t="s">
        <v>318</v>
      </c>
      <c r="J71" s="47" t="s">
        <v>319</v>
      </c>
      <c r="K71" s="47" t="s">
        <v>320</v>
      </c>
      <c r="L71" s="47" t="s">
        <v>321</v>
      </c>
      <c r="M71" s="47" t="s">
        <v>322</v>
      </c>
    </row>
    <row r="72" spans="1:13" x14ac:dyDescent="0.2">
      <c r="A72" s="47" t="s">
        <v>332</v>
      </c>
      <c r="B72" s="47" t="s">
        <v>64</v>
      </c>
      <c r="F72" s="48"/>
      <c r="G72" s="48"/>
      <c r="H72" s="48"/>
      <c r="I72" s="47" t="s">
        <v>318</v>
      </c>
      <c r="J72" s="47" t="s">
        <v>319</v>
      </c>
      <c r="K72" s="47" t="s">
        <v>320</v>
      </c>
      <c r="L72" s="47" t="s">
        <v>321</v>
      </c>
      <c r="M72" s="47" t="s">
        <v>322</v>
      </c>
    </row>
    <row r="73" spans="1:13" x14ac:dyDescent="0.2">
      <c r="A73" s="47" t="s">
        <v>333</v>
      </c>
      <c r="B73" s="47" t="s">
        <v>334</v>
      </c>
      <c r="F73" s="48"/>
      <c r="G73" s="48"/>
      <c r="H73" s="48"/>
      <c r="I73" s="47" t="s">
        <v>335</v>
      </c>
      <c r="J73" s="47" t="s">
        <v>336</v>
      </c>
      <c r="K73" s="47" t="s">
        <v>337</v>
      </c>
      <c r="L73" s="47" t="s">
        <v>338</v>
      </c>
      <c r="M73" s="47" t="s">
        <v>339</v>
      </c>
    </row>
    <row r="74" spans="1:13" x14ac:dyDescent="0.2">
      <c r="A74" s="47" t="s">
        <v>524</v>
      </c>
      <c r="B74" s="47" t="s">
        <v>669</v>
      </c>
      <c r="G74" s="48"/>
      <c r="I74" s="47" t="s">
        <v>335</v>
      </c>
      <c r="J74" s="47" t="s">
        <v>336</v>
      </c>
      <c r="K74" s="47" t="s">
        <v>337</v>
      </c>
      <c r="L74" s="47" t="s">
        <v>338</v>
      </c>
      <c r="M74" s="47" t="s">
        <v>339</v>
      </c>
    </row>
    <row r="75" spans="1:13" x14ac:dyDescent="0.2">
      <c r="A75" s="47" t="s">
        <v>340</v>
      </c>
      <c r="B75" s="47" t="s">
        <v>32</v>
      </c>
      <c r="F75" s="48"/>
      <c r="G75" s="48"/>
      <c r="H75" s="48"/>
      <c r="I75" s="47" t="s">
        <v>335</v>
      </c>
      <c r="J75" s="47" t="s">
        <v>336</v>
      </c>
      <c r="K75" s="47" t="s">
        <v>341</v>
      </c>
      <c r="L75" s="47" t="s">
        <v>342</v>
      </c>
      <c r="M75" s="47" t="s">
        <v>339</v>
      </c>
    </row>
    <row r="76" spans="1:13" x14ac:dyDescent="0.2">
      <c r="A76" s="47" t="s">
        <v>343</v>
      </c>
      <c r="B76" s="47" t="s">
        <v>344</v>
      </c>
      <c r="F76" s="48"/>
      <c r="G76" s="48"/>
      <c r="H76" s="48"/>
      <c r="I76" s="47" t="s">
        <v>335</v>
      </c>
      <c r="J76" s="47" t="s">
        <v>336</v>
      </c>
      <c r="K76" s="47" t="s">
        <v>341</v>
      </c>
      <c r="L76" s="47" t="s">
        <v>342</v>
      </c>
      <c r="M76" s="47" t="s">
        <v>339</v>
      </c>
    </row>
    <row r="77" spans="1:13" x14ac:dyDescent="0.2">
      <c r="A77" s="47" t="s">
        <v>345</v>
      </c>
      <c r="B77" s="47" t="s">
        <v>663</v>
      </c>
      <c r="F77" s="48"/>
      <c r="G77" s="48"/>
      <c r="H77" s="48"/>
      <c r="I77" s="47" t="s">
        <v>335</v>
      </c>
      <c r="J77" s="47" t="s">
        <v>336</v>
      </c>
      <c r="K77" s="47" t="s">
        <v>341</v>
      </c>
      <c r="L77" s="47" t="s">
        <v>342</v>
      </c>
      <c r="M77" s="47" t="s">
        <v>339</v>
      </c>
    </row>
    <row r="78" spans="1:13" x14ac:dyDescent="0.2">
      <c r="A78" s="47" t="s">
        <v>346</v>
      </c>
      <c r="B78" s="47" t="s">
        <v>347</v>
      </c>
      <c r="F78" s="48"/>
      <c r="I78" s="47" t="s">
        <v>348</v>
      </c>
      <c r="J78" s="47" t="s">
        <v>349</v>
      </c>
      <c r="K78" s="47" t="s">
        <v>350</v>
      </c>
      <c r="L78" s="47" t="s">
        <v>351</v>
      </c>
      <c r="M78" s="47" t="s">
        <v>352</v>
      </c>
    </row>
    <row r="79" spans="1:13" x14ac:dyDescent="0.2">
      <c r="A79" s="47" t="s">
        <v>355</v>
      </c>
      <c r="B79" s="47" t="s">
        <v>356</v>
      </c>
      <c r="F79" s="48"/>
      <c r="I79" s="47" t="s">
        <v>348</v>
      </c>
      <c r="J79" s="47" t="s">
        <v>349</v>
      </c>
      <c r="K79" s="47" t="s">
        <v>350</v>
      </c>
      <c r="L79" s="47" t="s">
        <v>351</v>
      </c>
      <c r="M79" s="47" t="s">
        <v>352</v>
      </c>
    </row>
    <row r="80" spans="1:13" x14ac:dyDescent="0.2">
      <c r="A80" s="47" t="s">
        <v>357</v>
      </c>
      <c r="B80" s="47" t="s">
        <v>358</v>
      </c>
      <c r="F80" s="48"/>
      <c r="G80" s="48"/>
      <c r="H80" s="48"/>
      <c r="I80" s="47" t="s">
        <v>348</v>
      </c>
      <c r="J80" s="47" t="s">
        <v>349</v>
      </c>
      <c r="K80" s="47" t="s">
        <v>350</v>
      </c>
      <c r="L80" s="47" t="s">
        <v>351</v>
      </c>
      <c r="M80" s="47" t="s">
        <v>352</v>
      </c>
    </row>
    <row r="81" spans="1:13" x14ac:dyDescent="0.2">
      <c r="A81" s="47" t="s">
        <v>359</v>
      </c>
      <c r="B81" s="47" t="s">
        <v>670</v>
      </c>
      <c r="F81" s="48"/>
      <c r="G81" s="48"/>
      <c r="H81" s="48"/>
      <c r="I81" s="47" t="s">
        <v>348</v>
      </c>
      <c r="J81" s="47" t="s">
        <v>349</v>
      </c>
      <c r="K81" s="47" t="s">
        <v>350</v>
      </c>
      <c r="L81" s="47" t="s">
        <v>351</v>
      </c>
      <c r="M81" s="47" t="s">
        <v>352</v>
      </c>
    </row>
    <row r="82" spans="1:13" x14ac:dyDescent="0.2">
      <c r="A82" s="47" t="s">
        <v>523</v>
      </c>
      <c r="B82" s="47" t="s">
        <v>671</v>
      </c>
      <c r="G82" s="48"/>
      <c r="H82" s="48"/>
      <c r="I82" s="47" t="s">
        <v>348</v>
      </c>
      <c r="J82" s="47" t="s">
        <v>349</v>
      </c>
      <c r="K82" s="47" t="s">
        <v>350</v>
      </c>
      <c r="L82" s="47" t="s">
        <v>351</v>
      </c>
      <c r="M82" s="47" t="s">
        <v>352</v>
      </c>
    </row>
    <row r="83" spans="1:13" x14ac:dyDescent="0.2">
      <c r="A83" s="47" t="s">
        <v>360</v>
      </c>
      <c r="B83" s="47" t="s">
        <v>361</v>
      </c>
      <c r="F83" s="48"/>
      <c r="G83" s="48"/>
      <c r="H83" s="48"/>
      <c r="I83" s="47" t="s">
        <v>362</v>
      </c>
      <c r="J83" s="47" t="s">
        <v>363</v>
      </c>
      <c r="K83" s="47" t="s">
        <v>364</v>
      </c>
      <c r="L83" s="47" t="s">
        <v>365</v>
      </c>
      <c r="M83" s="47" t="s">
        <v>366</v>
      </c>
    </row>
    <row r="84" spans="1:13" x14ac:dyDescent="0.2">
      <c r="A84" s="47" t="s">
        <v>367</v>
      </c>
      <c r="B84" s="47" t="s">
        <v>368</v>
      </c>
      <c r="F84" s="48"/>
      <c r="G84" s="48"/>
      <c r="H84" s="48"/>
      <c r="I84" s="47" t="s">
        <v>362</v>
      </c>
      <c r="J84" s="47" t="s">
        <v>363</v>
      </c>
      <c r="K84" s="47" t="s">
        <v>364</v>
      </c>
      <c r="L84" s="47" t="s">
        <v>365</v>
      </c>
      <c r="M84" s="47" t="s">
        <v>366</v>
      </c>
    </row>
    <row r="85" spans="1:13" x14ac:dyDescent="0.2">
      <c r="A85" s="47" t="s">
        <v>369</v>
      </c>
      <c r="B85" s="47" t="s">
        <v>370</v>
      </c>
      <c r="F85" s="48"/>
      <c r="G85" s="48"/>
      <c r="H85" s="48"/>
      <c r="I85" s="47" t="s">
        <v>362</v>
      </c>
      <c r="J85" s="47" t="s">
        <v>363</v>
      </c>
      <c r="K85" s="47" t="s">
        <v>364</v>
      </c>
      <c r="L85" s="47" t="s">
        <v>365</v>
      </c>
      <c r="M85" s="47" t="s">
        <v>366</v>
      </c>
    </row>
    <row r="86" spans="1:13" x14ac:dyDescent="0.2">
      <c r="A86" s="47" t="s">
        <v>371</v>
      </c>
      <c r="B86" s="47" t="s">
        <v>372</v>
      </c>
      <c r="F86" s="48"/>
      <c r="G86" s="48"/>
      <c r="H86" s="48"/>
      <c r="I86" s="47" t="s">
        <v>362</v>
      </c>
      <c r="J86" s="47" t="s">
        <v>363</v>
      </c>
      <c r="K86" s="47" t="s">
        <v>364</v>
      </c>
      <c r="L86" s="47" t="s">
        <v>365</v>
      </c>
      <c r="M86" s="47" t="s">
        <v>366</v>
      </c>
    </row>
    <row r="87" spans="1:13" x14ac:dyDescent="0.2">
      <c r="A87" s="47" t="s">
        <v>373</v>
      </c>
      <c r="B87" s="47" t="s">
        <v>374</v>
      </c>
      <c r="F87" s="48"/>
      <c r="G87" s="48"/>
      <c r="H87" s="48"/>
      <c r="I87" s="47" t="s">
        <v>362</v>
      </c>
      <c r="J87" s="47" t="s">
        <v>363</v>
      </c>
      <c r="K87" s="47" t="s">
        <v>364</v>
      </c>
      <c r="L87" s="47" t="s">
        <v>365</v>
      </c>
      <c r="M87" s="47" t="s">
        <v>366</v>
      </c>
    </row>
    <row r="88" spans="1:13" x14ac:dyDescent="0.2">
      <c r="A88" s="47" t="s">
        <v>375</v>
      </c>
      <c r="B88" s="47" t="s">
        <v>672</v>
      </c>
      <c r="F88" s="48"/>
      <c r="G88" s="48"/>
      <c r="H88" s="48"/>
      <c r="I88" s="47" t="s">
        <v>362</v>
      </c>
      <c r="J88" s="47" t="s">
        <v>363</v>
      </c>
      <c r="K88" s="47" t="s">
        <v>364</v>
      </c>
      <c r="L88" s="47" t="s">
        <v>365</v>
      </c>
      <c r="M88" s="47" t="s">
        <v>366</v>
      </c>
    </row>
    <row r="89" spans="1:13" x14ac:dyDescent="0.2">
      <c r="A89" s="47" t="s">
        <v>376</v>
      </c>
      <c r="B89" s="47" t="s">
        <v>377</v>
      </c>
      <c r="F89" s="48"/>
      <c r="G89" s="48"/>
      <c r="H89" s="48"/>
      <c r="I89" s="47" t="s">
        <v>362</v>
      </c>
      <c r="J89" s="47" t="s">
        <v>363</v>
      </c>
      <c r="K89" s="47" t="s">
        <v>364</v>
      </c>
      <c r="L89" s="47" t="s">
        <v>365</v>
      </c>
      <c r="M89" s="47" t="s">
        <v>366</v>
      </c>
    </row>
    <row r="90" spans="1:13" x14ac:dyDescent="0.2">
      <c r="A90" s="47" t="s">
        <v>378</v>
      </c>
      <c r="B90" s="47" t="s">
        <v>379</v>
      </c>
      <c r="F90" s="48"/>
      <c r="G90" s="48"/>
      <c r="H90" s="48"/>
      <c r="I90" s="47" t="s">
        <v>362</v>
      </c>
      <c r="J90" s="47" t="s">
        <v>363</v>
      </c>
      <c r="K90" s="47" t="s">
        <v>364</v>
      </c>
      <c r="L90" s="47" t="s">
        <v>365</v>
      </c>
      <c r="M90" s="47" t="s">
        <v>366</v>
      </c>
    </row>
    <row r="91" spans="1:13" x14ac:dyDescent="0.2">
      <c r="A91" s="47" t="s">
        <v>380</v>
      </c>
      <c r="B91" s="47" t="s">
        <v>381</v>
      </c>
      <c r="G91" s="48"/>
      <c r="H91" s="48"/>
      <c r="I91" s="47" t="s">
        <v>362</v>
      </c>
      <c r="J91" s="47" t="s">
        <v>363</v>
      </c>
      <c r="K91" s="47" t="s">
        <v>364</v>
      </c>
      <c r="L91" s="47" t="s">
        <v>365</v>
      </c>
      <c r="M91" s="47" t="s">
        <v>366</v>
      </c>
    </row>
    <row r="92" spans="1:13" x14ac:dyDescent="0.2">
      <c r="A92" s="47" t="s">
        <v>382</v>
      </c>
      <c r="B92" s="47" t="s">
        <v>383</v>
      </c>
      <c r="F92" s="48"/>
      <c r="G92" s="48"/>
      <c r="H92" s="48"/>
      <c r="I92" s="47" t="s">
        <v>362</v>
      </c>
      <c r="J92" s="47" t="s">
        <v>363</v>
      </c>
      <c r="K92" s="47" t="s">
        <v>364</v>
      </c>
      <c r="L92" s="47" t="s">
        <v>365</v>
      </c>
      <c r="M92" s="47" t="s">
        <v>366</v>
      </c>
    </row>
    <row r="93" spans="1:13" x14ac:dyDescent="0.2">
      <c r="A93" s="47" t="s">
        <v>384</v>
      </c>
      <c r="B93" s="47" t="s">
        <v>385</v>
      </c>
      <c r="F93" s="48"/>
      <c r="G93" s="48"/>
      <c r="H93" s="48"/>
      <c r="I93" s="47" t="s">
        <v>362</v>
      </c>
      <c r="J93" s="47" t="s">
        <v>363</v>
      </c>
      <c r="K93" s="47" t="s">
        <v>364</v>
      </c>
      <c r="L93" s="47" t="s">
        <v>365</v>
      </c>
      <c r="M93" s="47" t="s">
        <v>366</v>
      </c>
    </row>
    <row r="94" spans="1:13" x14ac:dyDescent="0.2">
      <c r="A94" s="47" t="s">
        <v>386</v>
      </c>
      <c r="B94" s="47" t="s">
        <v>387</v>
      </c>
      <c r="F94" s="48"/>
      <c r="G94" s="48"/>
      <c r="H94" s="48"/>
      <c r="I94" s="47" t="s">
        <v>362</v>
      </c>
      <c r="J94" s="47" t="s">
        <v>363</v>
      </c>
      <c r="K94" s="47" t="s">
        <v>364</v>
      </c>
      <c r="L94" s="47" t="s">
        <v>365</v>
      </c>
      <c r="M94" s="47" t="s">
        <v>366</v>
      </c>
    </row>
    <row r="95" spans="1:13" x14ac:dyDescent="0.2">
      <c r="A95" s="47" t="s">
        <v>388</v>
      </c>
      <c r="B95" s="47" t="s">
        <v>389</v>
      </c>
      <c r="F95" s="48"/>
      <c r="G95" s="48"/>
      <c r="H95" s="48"/>
      <c r="I95" s="47" t="s">
        <v>362</v>
      </c>
      <c r="J95" s="47" t="s">
        <v>363</v>
      </c>
      <c r="K95" s="47" t="s">
        <v>390</v>
      </c>
      <c r="L95" s="47" t="s">
        <v>66</v>
      </c>
      <c r="M95" s="47" t="s">
        <v>366</v>
      </c>
    </row>
    <row r="96" spans="1:13" x14ac:dyDescent="0.2">
      <c r="A96" s="47" t="s">
        <v>391</v>
      </c>
      <c r="B96" s="47" t="s">
        <v>107</v>
      </c>
      <c r="F96" s="48"/>
      <c r="G96" s="48"/>
      <c r="H96" s="48"/>
      <c r="I96" s="47" t="s">
        <v>362</v>
      </c>
      <c r="J96" s="47" t="s">
        <v>363</v>
      </c>
      <c r="K96" s="47" t="s">
        <v>390</v>
      </c>
      <c r="L96" s="47" t="s">
        <v>66</v>
      </c>
      <c r="M96" s="47" t="s">
        <v>366</v>
      </c>
    </row>
    <row r="97" spans="1:13" x14ac:dyDescent="0.2">
      <c r="A97" s="47" t="s">
        <v>392</v>
      </c>
      <c r="B97" s="47" t="s">
        <v>393</v>
      </c>
      <c r="F97" s="48"/>
      <c r="G97" s="48"/>
      <c r="H97" s="48"/>
      <c r="I97" s="47" t="s">
        <v>394</v>
      </c>
      <c r="J97" s="47" t="s">
        <v>395</v>
      </c>
      <c r="K97" s="47" t="s">
        <v>396</v>
      </c>
      <c r="L97" s="47" t="s">
        <v>397</v>
      </c>
      <c r="M97" s="47" t="s">
        <v>398</v>
      </c>
    </row>
    <row r="98" spans="1:13" x14ac:dyDescent="0.2">
      <c r="A98" s="47" t="s">
        <v>399</v>
      </c>
      <c r="B98" s="47" t="s">
        <v>29</v>
      </c>
      <c r="F98" s="48"/>
      <c r="G98" s="48"/>
      <c r="H98" s="48"/>
      <c r="I98" s="47" t="s">
        <v>394</v>
      </c>
      <c r="J98" s="47" t="s">
        <v>395</v>
      </c>
      <c r="K98" s="47" t="s">
        <v>396</v>
      </c>
      <c r="L98" s="47" t="s">
        <v>397</v>
      </c>
      <c r="M98" s="47" t="s">
        <v>398</v>
      </c>
    </row>
    <row r="99" spans="1:13" x14ac:dyDescent="0.2">
      <c r="A99" s="47" t="s">
        <v>400</v>
      </c>
      <c r="B99" s="47" t="s">
        <v>673</v>
      </c>
      <c r="F99" s="48"/>
      <c r="I99" s="47" t="s">
        <v>394</v>
      </c>
      <c r="J99" s="47" t="s">
        <v>395</v>
      </c>
      <c r="K99" s="47" t="s">
        <v>396</v>
      </c>
      <c r="L99" s="47" t="s">
        <v>397</v>
      </c>
      <c r="M99" s="47" t="s">
        <v>398</v>
      </c>
    </row>
    <row r="100" spans="1:13" x14ac:dyDescent="0.2">
      <c r="A100" s="47" t="s">
        <v>401</v>
      </c>
      <c r="B100" s="47" t="s">
        <v>402</v>
      </c>
      <c r="F100" s="48"/>
      <c r="G100" s="48"/>
      <c r="H100" s="48"/>
      <c r="I100" s="47" t="s">
        <v>394</v>
      </c>
      <c r="J100" s="47" t="s">
        <v>395</v>
      </c>
      <c r="K100" s="47" t="s">
        <v>396</v>
      </c>
      <c r="L100" s="47" t="s">
        <v>397</v>
      </c>
      <c r="M100" s="47" t="s">
        <v>398</v>
      </c>
    </row>
    <row r="101" spans="1:13" x14ac:dyDescent="0.2">
      <c r="A101" s="47" t="s">
        <v>403</v>
      </c>
      <c r="B101" s="47" t="s">
        <v>404</v>
      </c>
      <c r="G101" s="48"/>
      <c r="H101" s="48"/>
      <c r="I101" s="47" t="s">
        <v>394</v>
      </c>
      <c r="J101" s="47" t="s">
        <v>395</v>
      </c>
      <c r="K101" s="47" t="s">
        <v>396</v>
      </c>
      <c r="L101" s="47" t="s">
        <v>397</v>
      </c>
      <c r="M101" s="47" t="s">
        <v>398</v>
      </c>
    </row>
    <row r="102" spans="1:13" x14ac:dyDescent="0.2">
      <c r="A102" s="47" t="s">
        <v>405</v>
      </c>
      <c r="B102" s="47" t="s">
        <v>675</v>
      </c>
      <c r="F102" s="48"/>
      <c r="G102" s="48"/>
      <c r="H102" s="48"/>
      <c r="I102" s="47" t="s">
        <v>394</v>
      </c>
      <c r="J102" s="47" t="s">
        <v>395</v>
      </c>
      <c r="K102" s="47" t="s">
        <v>396</v>
      </c>
      <c r="L102" s="47" t="s">
        <v>397</v>
      </c>
      <c r="M102" s="47" t="s">
        <v>398</v>
      </c>
    </row>
    <row r="103" spans="1:13" x14ac:dyDescent="0.2">
      <c r="A103" s="47" t="s">
        <v>406</v>
      </c>
      <c r="B103" s="47" t="s">
        <v>31</v>
      </c>
      <c r="F103" s="48"/>
      <c r="G103" s="48"/>
      <c r="I103" s="47" t="s">
        <v>394</v>
      </c>
      <c r="J103" s="47" t="s">
        <v>395</v>
      </c>
      <c r="K103" s="47" t="s">
        <v>396</v>
      </c>
      <c r="L103" s="47" t="s">
        <v>397</v>
      </c>
      <c r="M103" s="47" t="s">
        <v>398</v>
      </c>
    </row>
    <row r="104" spans="1:13" x14ac:dyDescent="0.2">
      <c r="A104" s="47" t="s">
        <v>407</v>
      </c>
      <c r="B104" s="47" t="s">
        <v>408</v>
      </c>
      <c r="F104" s="48"/>
      <c r="G104" s="48"/>
      <c r="H104" s="48"/>
      <c r="I104" s="47" t="s">
        <v>394</v>
      </c>
      <c r="J104" s="47" t="s">
        <v>395</v>
      </c>
      <c r="K104" s="47" t="s">
        <v>396</v>
      </c>
      <c r="L104" s="47" t="s">
        <v>397</v>
      </c>
      <c r="M104" s="47" t="s">
        <v>398</v>
      </c>
    </row>
    <row r="105" spans="1:13" x14ac:dyDescent="0.2">
      <c r="A105" s="47" t="s">
        <v>409</v>
      </c>
      <c r="B105" s="47" t="s">
        <v>410</v>
      </c>
      <c r="F105" s="48"/>
      <c r="G105" s="48"/>
      <c r="H105" s="48"/>
      <c r="I105" s="47" t="s">
        <v>394</v>
      </c>
      <c r="J105" s="47" t="s">
        <v>395</v>
      </c>
      <c r="K105" s="47" t="s">
        <v>396</v>
      </c>
      <c r="L105" s="47" t="s">
        <v>397</v>
      </c>
      <c r="M105" s="47" t="s">
        <v>398</v>
      </c>
    </row>
    <row r="106" spans="1:13" x14ac:dyDescent="0.2">
      <c r="A106" s="47" t="s">
        <v>411</v>
      </c>
      <c r="B106" s="47" t="s">
        <v>108</v>
      </c>
      <c r="F106" s="48"/>
      <c r="G106" s="48"/>
      <c r="H106" s="48"/>
      <c r="I106" s="47" t="s">
        <v>394</v>
      </c>
      <c r="J106" s="47" t="s">
        <v>395</v>
      </c>
      <c r="K106" s="47" t="s">
        <v>396</v>
      </c>
      <c r="L106" s="47" t="s">
        <v>397</v>
      </c>
      <c r="M106" s="47" t="s">
        <v>398</v>
      </c>
    </row>
    <row r="107" spans="1:13" x14ac:dyDescent="0.2">
      <c r="A107" s="47" t="s">
        <v>412</v>
      </c>
      <c r="B107" s="47" t="s">
        <v>413</v>
      </c>
      <c r="F107" s="48"/>
      <c r="G107" s="48"/>
      <c r="H107" s="48"/>
      <c r="I107" s="47" t="s">
        <v>394</v>
      </c>
      <c r="J107" s="47" t="s">
        <v>395</v>
      </c>
      <c r="K107" s="47" t="s">
        <v>396</v>
      </c>
      <c r="L107" s="47" t="s">
        <v>397</v>
      </c>
      <c r="M107" s="47" t="s">
        <v>398</v>
      </c>
    </row>
    <row r="108" spans="1:13" x14ac:dyDescent="0.2">
      <c r="A108" s="47" t="s">
        <v>414</v>
      </c>
      <c r="B108" s="47" t="s">
        <v>415</v>
      </c>
      <c r="F108" s="48"/>
      <c r="G108" s="48"/>
      <c r="H108" s="48"/>
      <c r="I108" s="47" t="s">
        <v>394</v>
      </c>
      <c r="J108" s="47" t="s">
        <v>395</v>
      </c>
      <c r="K108" s="47" t="s">
        <v>396</v>
      </c>
      <c r="L108" s="47" t="s">
        <v>397</v>
      </c>
      <c r="M108" s="47" t="s">
        <v>398</v>
      </c>
    </row>
    <row r="109" spans="1:13" x14ac:dyDescent="0.2">
      <c r="A109" s="47" t="s">
        <v>416</v>
      </c>
      <c r="B109" s="47" t="s">
        <v>417</v>
      </c>
      <c r="F109" s="48"/>
      <c r="G109" s="48"/>
      <c r="H109" s="48"/>
      <c r="I109" s="47" t="s">
        <v>394</v>
      </c>
      <c r="J109" s="47" t="s">
        <v>395</v>
      </c>
      <c r="K109" s="47" t="s">
        <v>396</v>
      </c>
      <c r="L109" s="47" t="s">
        <v>397</v>
      </c>
      <c r="M109" s="47" t="s">
        <v>398</v>
      </c>
    </row>
    <row r="110" spans="1:13" x14ac:dyDescent="0.2">
      <c r="A110" s="47" t="s">
        <v>418</v>
      </c>
      <c r="B110" s="47" t="s">
        <v>674</v>
      </c>
      <c r="F110" s="48"/>
      <c r="G110" s="48"/>
      <c r="H110" s="48"/>
      <c r="I110" s="47" t="s">
        <v>394</v>
      </c>
      <c r="J110" s="47" t="s">
        <v>395</v>
      </c>
      <c r="K110" s="47" t="s">
        <v>396</v>
      </c>
      <c r="L110" s="47" t="s">
        <v>397</v>
      </c>
      <c r="M110" s="47" t="s">
        <v>398</v>
      </c>
    </row>
    <row r="111" spans="1:13" x14ac:dyDescent="0.2">
      <c r="A111" s="47" t="s">
        <v>419</v>
      </c>
      <c r="B111" s="47" t="s">
        <v>676</v>
      </c>
      <c r="F111" s="48"/>
      <c r="G111" s="48"/>
      <c r="H111" s="48"/>
      <c r="I111" s="47" t="s">
        <v>394</v>
      </c>
      <c r="J111" s="47" t="s">
        <v>395</v>
      </c>
      <c r="K111" s="47" t="s">
        <v>396</v>
      </c>
      <c r="L111" s="47" t="s">
        <v>397</v>
      </c>
      <c r="M111" s="47" t="s">
        <v>398</v>
      </c>
    </row>
    <row r="112" spans="1:13" x14ac:dyDescent="0.2">
      <c r="A112" s="47" t="s">
        <v>420</v>
      </c>
      <c r="B112" s="47" t="s">
        <v>677</v>
      </c>
      <c r="F112" s="48"/>
      <c r="G112" s="48"/>
      <c r="H112" s="48"/>
      <c r="I112" s="47" t="s">
        <v>394</v>
      </c>
      <c r="J112" s="47" t="s">
        <v>395</v>
      </c>
      <c r="K112" s="47" t="s">
        <v>396</v>
      </c>
      <c r="L112" s="47" t="s">
        <v>397</v>
      </c>
      <c r="M112" s="47" t="s">
        <v>398</v>
      </c>
    </row>
    <row r="113" spans="1:13" x14ac:dyDescent="0.2">
      <c r="A113" s="47" t="s">
        <v>421</v>
      </c>
      <c r="B113" s="47" t="s">
        <v>678</v>
      </c>
      <c r="F113" s="48"/>
      <c r="G113" s="48"/>
      <c r="H113" s="48"/>
      <c r="I113" s="47" t="s">
        <v>394</v>
      </c>
      <c r="J113" s="47" t="s">
        <v>395</v>
      </c>
      <c r="K113" s="47" t="s">
        <v>396</v>
      </c>
      <c r="L113" s="47" t="s">
        <v>397</v>
      </c>
      <c r="M113" s="47" t="s">
        <v>398</v>
      </c>
    </row>
    <row r="114" spans="1:13" x14ac:dyDescent="0.2">
      <c r="A114" s="47" t="s">
        <v>422</v>
      </c>
      <c r="B114" s="47" t="s">
        <v>679</v>
      </c>
      <c r="F114" s="48"/>
      <c r="H114" s="48"/>
      <c r="I114" s="47" t="s">
        <v>394</v>
      </c>
      <c r="J114" s="47" t="s">
        <v>395</v>
      </c>
      <c r="K114" s="47" t="s">
        <v>396</v>
      </c>
      <c r="L114" s="47" t="s">
        <v>397</v>
      </c>
      <c r="M114" s="47" t="s">
        <v>398</v>
      </c>
    </row>
    <row r="115" spans="1:13" x14ac:dyDescent="0.2">
      <c r="A115" s="47" t="s">
        <v>423</v>
      </c>
      <c r="B115" s="47" t="s">
        <v>63</v>
      </c>
      <c r="F115" s="48"/>
      <c r="G115" s="48"/>
      <c r="H115" s="48"/>
      <c r="I115" s="47" t="s">
        <v>394</v>
      </c>
      <c r="J115" s="47" t="s">
        <v>395</v>
      </c>
      <c r="K115" s="47" t="s">
        <v>424</v>
      </c>
      <c r="L115" s="47" t="s">
        <v>63</v>
      </c>
      <c r="M115" s="47" t="s">
        <v>398</v>
      </c>
    </row>
    <row r="116" spans="1:13" x14ac:dyDescent="0.2">
      <c r="A116" s="47" t="s">
        <v>425</v>
      </c>
      <c r="B116" s="47" t="s">
        <v>28</v>
      </c>
      <c r="F116" s="48"/>
      <c r="G116" s="48"/>
      <c r="H116" s="48"/>
      <c r="I116" s="47" t="s">
        <v>394</v>
      </c>
      <c r="J116" s="47" t="s">
        <v>395</v>
      </c>
      <c r="K116" s="47" t="s">
        <v>424</v>
      </c>
      <c r="L116" s="47" t="s">
        <v>63</v>
      </c>
      <c r="M116" s="47" t="s">
        <v>398</v>
      </c>
    </row>
    <row r="117" spans="1:13" x14ac:dyDescent="0.2">
      <c r="A117" s="47" t="s">
        <v>426</v>
      </c>
      <c r="B117" s="47" t="s">
        <v>30</v>
      </c>
      <c r="F117" s="48"/>
      <c r="G117" s="48"/>
      <c r="H117" s="48"/>
      <c r="I117" s="47" t="s">
        <v>394</v>
      </c>
      <c r="J117" s="47" t="s">
        <v>395</v>
      </c>
      <c r="K117" s="47" t="s">
        <v>424</v>
      </c>
      <c r="L117" s="47" t="s">
        <v>63</v>
      </c>
      <c r="M117" s="47" t="s">
        <v>398</v>
      </c>
    </row>
    <row r="118" spans="1:13" x14ac:dyDescent="0.2">
      <c r="A118" s="47" t="s">
        <v>427</v>
      </c>
      <c r="B118" s="47" t="s">
        <v>680</v>
      </c>
      <c r="F118" s="48"/>
      <c r="G118" s="48"/>
      <c r="H118" s="48"/>
      <c r="I118" s="47" t="s">
        <v>394</v>
      </c>
      <c r="J118" s="47" t="s">
        <v>395</v>
      </c>
      <c r="K118" s="47" t="s">
        <v>424</v>
      </c>
      <c r="L118" s="47" t="s">
        <v>63</v>
      </c>
      <c r="M118" s="47" t="s">
        <v>398</v>
      </c>
    </row>
    <row r="119" spans="1:13" x14ac:dyDescent="0.2">
      <c r="A119" s="47" t="s">
        <v>428</v>
      </c>
      <c r="B119" s="47" t="s">
        <v>681</v>
      </c>
      <c r="F119" s="48"/>
      <c r="G119" s="48"/>
      <c r="H119" s="48"/>
      <c r="I119" s="47" t="s">
        <v>429</v>
      </c>
      <c r="J119" s="47" t="s">
        <v>106</v>
      </c>
      <c r="K119" s="47" t="s">
        <v>430</v>
      </c>
      <c r="L119" s="47" t="s">
        <v>106</v>
      </c>
      <c r="M119" s="47" t="s">
        <v>431</v>
      </c>
    </row>
    <row r="120" spans="1:13" x14ac:dyDescent="0.2">
      <c r="A120" s="47" t="s">
        <v>432</v>
      </c>
      <c r="B120" s="47" t="s">
        <v>433</v>
      </c>
      <c r="F120" s="48"/>
      <c r="G120" s="48"/>
      <c r="H120" s="48"/>
      <c r="I120" s="47" t="s">
        <v>429</v>
      </c>
      <c r="J120" s="47" t="s">
        <v>106</v>
      </c>
      <c r="K120" s="47" t="s">
        <v>430</v>
      </c>
      <c r="L120" s="47" t="s">
        <v>106</v>
      </c>
      <c r="M120" s="47" t="s">
        <v>431</v>
      </c>
    </row>
    <row r="121" spans="1:13" x14ac:dyDescent="0.2">
      <c r="A121" s="47" t="s">
        <v>434</v>
      </c>
      <c r="B121" s="47" t="s">
        <v>139</v>
      </c>
      <c r="F121" s="48"/>
      <c r="G121" s="48"/>
      <c r="H121" s="48"/>
      <c r="I121" s="47" t="s">
        <v>429</v>
      </c>
      <c r="J121" s="47" t="s">
        <v>106</v>
      </c>
      <c r="K121" s="47" t="s">
        <v>430</v>
      </c>
      <c r="L121" s="47" t="s">
        <v>106</v>
      </c>
      <c r="M121" s="47" t="s">
        <v>431</v>
      </c>
    </row>
    <row r="122" spans="1:13" x14ac:dyDescent="0.2">
      <c r="A122" s="47" t="s">
        <v>435</v>
      </c>
      <c r="B122" s="47" t="s">
        <v>25</v>
      </c>
      <c r="F122" s="48"/>
      <c r="G122" s="48"/>
      <c r="H122" s="48"/>
      <c r="I122" s="47" t="s">
        <v>429</v>
      </c>
      <c r="J122" s="47" t="s">
        <v>106</v>
      </c>
      <c r="K122" s="47" t="s">
        <v>430</v>
      </c>
      <c r="L122" s="47" t="s">
        <v>106</v>
      </c>
      <c r="M122" s="47" t="s">
        <v>431</v>
      </c>
    </row>
    <row r="123" spans="1:13" x14ac:dyDescent="0.2">
      <c r="A123" s="47" t="s">
        <v>436</v>
      </c>
      <c r="B123" s="47" t="s">
        <v>140</v>
      </c>
      <c r="F123" s="48"/>
      <c r="G123" s="48"/>
      <c r="H123" s="48"/>
      <c r="I123" s="47" t="s">
        <v>429</v>
      </c>
      <c r="J123" s="47" t="s">
        <v>106</v>
      </c>
      <c r="K123" s="47" t="s">
        <v>430</v>
      </c>
      <c r="L123" s="47" t="s">
        <v>106</v>
      </c>
      <c r="M123" s="47" t="s">
        <v>431</v>
      </c>
    </row>
    <row r="124" spans="1:13" x14ac:dyDescent="0.2">
      <c r="A124" s="47" t="s">
        <v>437</v>
      </c>
      <c r="B124" s="47" t="s">
        <v>24</v>
      </c>
      <c r="F124" s="48"/>
      <c r="G124" s="48"/>
      <c r="H124" s="48"/>
      <c r="I124" s="47" t="s">
        <v>429</v>
      </c>
      <c r="J124" s="47" t="s">
        <v>106</v>
      </c>
      <c r="K124" s="47" t="s">
        <v>430</v>
      </c>
      <c r="L124" s="47" t="s">
        <v>106</v>
      </c>
      <c r="M124" s="47" t="s">
        <v>431</v>
      </c>
    </row>
    <row r="125" spans="1:13" x14ac:dyDescent="0.2">
      <c r="A125" s="47" t="s">
        <v>438</v>
      </c>
      <c r="B125" s="47" t="s">
        <v>439</v>
      </c>
      <c r="F125" s="48"/>
      <c r="G125" s="48"/>
      <c r="H125" s="48"/>
      <c r="I125" s="47" t="s">
        <v>440</v>
      </c>
      <c r="J125" s="47" t="s">
        <v>441</v>
      </c>
      <c r="K125" s="47" t="s">
        <v>442</v>
      </c>
      <c r="L125" s="47" t="s">
        <v>443</v>
      </c>
      <c r="M125" s="47" t="s">
        <v>444</v>
      </c>
    </row>
    <row r="126" spans="1:13" x14ac:dyDescent="0.2">
      <c r="A126" s="47" t="s">
        <v>522</v>
      </c>
      <c r="B126" s="47" t="s">
        <v>521</v>
      </c>
      <c r="G126" s="48"/>
      <c r="I126" s="47" t="s">
        <v>440</v>
      </c>
      <c r="J126" s="47" t="s">
        <v>441</v>
      </c>
      <c r="K126" s="47" t="s">
        <v>442</v>
      </c>
      <c r="L126" s="47" t="s">
        <v>443</v>
      </c>
      <c r="M126" s="47" t="s">
        <v>444</v>
      </c>
    </row>
    <row r="127" spans="1:13" x14ac:dyDescent="0.2">
      <c r="A127" s="47" t="s">
        <v>445</v>
      </c>
      <c r="B127" s="47" t="s">
        <v>34</v>
      </c>
      <c r="F127" s="48"/>
      <c r="G127" s="48"/>
      <c r="I127" s="47" t="s">
        <v>440</v>
      </c>
      <c r="J127" s="47" t="s">
        <v>441</v>
      </c>
      <c r="K127" s="47" t="s">
        <v>442</v>
      </c>
      <c r="L127" s="47" t="s">
        <v>443</v>
      </c>
      <c r="M127" s="47" t="s">
        <v>444</v>
      </c>
    </row>
    <row r="128" spans="1:13" x14ac:dyDescent="0.2">
      <c r="A128" s="47" t="s">
        <v>520</v>
      </c>
      <c r="B128" s="47" t="s">
        <v>682</v>
      </c>
      <c r="G128" s="48"/>
      <c r="I128" s="47" t="s">
        <v>440</v>
      </c>
      <c r="J128" s="47" t="s">
        <v>441</v>
      </c>
      <c r="K128" s="47" t="s">
        <v>442</v>
      </c>
      <c r="L128" s="47" t="s">
        <v>443</v>
      </c>
      <c r="M128" s="47" t="s">
        <v>444</v>
      </c>
    </row>
    <row r="129" spans="1:13" x14ac:dyDescent="0.2">
      <c r="A129" s="47" t="s">
        <v>446</v>
      </c>
      <c r="B129" s="47" t="s">
        <v>447</v>
      </c>
      <c r="F129" s="48"/>
      <c r="G129" s="48"/>
      <c r="I129" s="47" t="s">
        <v>448</v>
      </c>
      <c r="J129" s="47" t="s">
        <v>449</v>
      </c>
      <c r="K129" s="47" t="s">
        <v>450</v>
      </c>
      <c r="L129" s="47" t="s">
        <v>451</v>
      </c>
      <c r="M129" s="47" t="s">
        <v>452</v>
      </c>
    </row>
    <row r="130" spans="1:13" x14ac:dyDescent="0.2">
      <c r="A130" s="47" t="s">
        <v>519</v>
      </c>
      <c r="B130" s="47" t="s">
        <v>683</v>
      </c>
      <c r="G130" s="48"/>
      <c r="I130" s="47" t="s">
        <v>448</v>
      </c>
      <c r="J130" s="47" t="s">
        <v>449</v>
      </c>
      <c r="K130" s="47" t="s">
        <v>450</v>
      </c>
      <c r="L130" s="47" t="s">
        <v>451</v>
      </c>
      <c r="M130" s="47" t="s">
        <v>452</v>
      </c>
    </row>
    <row r="131" spans="1:13" x14ac:dyDescent="0.2">
      <c r="A131" s="47" t="s">
        <v>453</v>
      </c>
      <c r="B131" s="47" t="s">
        <v>454</v>
      </c>
      <c r="F131" s="48"/>
      <c r="G131" s="48"/>
      <c r="H131" s="48"/>
      <c r="I131" s="47" t="s">
        <v>455</v>
      </c>
      <c r="J131" s="47" t="s">
        <v>53</v>
      </c>
      <c r="K131" s="47" t="s">
        <v>456</v>
      </c>
      <c r="L131" s="47" t="s">
        <v>457</v>
      </c>
      <c r="M131" s="47" t="s">
        <v>458</v>
      </c>
    </row>
    <row r="132" spans="1:13" x14ac:dyDescent="0.2">
      <c r="A132" s="47" t="s">
        <v>518</v>
      </c>
      <c r="B132" s="47" t="s">
        <v>65</v>
      </c>
      <c r="G132" s="48"/>
      <c r="I132" s="47" t="s">
        <v>455</v>
      </c>
      <c r="J132" s="47" t="s">
        <v>53</v>
      </c>
      <c r="K132" s="47" t="s">
        <v>517</v>
      </c>
      <c r="L132" s="47" t="s">
        <v>65</v>
      </c>
      <c r="M132" s="47" t="s">
        <v>458</v>
      </c>
    </row>
    <row r="133" spans="1:13" x14ac:dyDescent="0.2">
      <c r="A133" s="47" t="s">
        <v>516</v>
      </c>
      <c r="B133" s="47" t="s">
        <v>53</v>
      </c>
      <c r="G133" s="48"/>
      <c r="I133" s="47" t="s">
        <v>455</v>
      </c>
      <c r="J133" s="47" t="s">
        <v>53</v>
      </c>
      <c r="K133" s="47" t="s">
        <v>515</v>
      </c>
      <c r="L133" s="47" t="s">
        <v>53</v>
      </c>
      <c r="M133" s="47" t="s">
        <v>458</v>
      </c>
    </row>
    <row r="134" spans="1:13" x14ac:dyDescent="0.2">
      <c r="A134" s="47" t="s">
        <v>459</v>
      </c>
      <c r="B134" s="47" t="s">
        <v>35</v>
      </c>
      <c r="F134" s="48"/>
      <c r="G134" s="48"/>
    </row>
    <row r="135" spans="1:13" x14ac:dyDescent="0.2">
      <c r="A135" s="47" t="s">
        <v>460</v>
      </c>
      <c r="B135" s="47" t="s">
        <v>461</v>
      </c>
      <c r="D135" s="48"/>
      <c r="E135" s="48"/>
      <c r="F135" s="48"/>
      <c r="G135" s="48"/>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0"/>
  <dimension ref="A1:H39"/>
  <sheetViews>
    <sheetView workbookViewId="0">
      <selection activeCell="B11" sqref="B11"/>
    </sheetView>
  </sheetViews>
  <sheetFormatPr defaultRowHeight="12.75" x14ac:dyDescent="0.2"/>
  <cols>
    <col min="1" max="1" width="21.42578125" customWidth="1"/>
    <col min="2" max="2" width="33.140625" customWidth="1"/>
    <col min="3" max="4" width="0" hidden="1" customWidth="1"/>
    <col min="5" max="5" width="12.42578125" customWidth="1"/>
    <col min="6" max="6" width="16.5703125" customWidth="1"/>
    <col min="7" max="7" width="12.42578125" customWidth="1"/>
    <col min="8" max="8" width="12.28515625" bestFit="1" customWidth="1"/>
    <col min="9" max="9" width="10.7109375" bestFit="1" customWidth="1"/>
  </cols>
  <sheetData>
    <row r="1" spans="1:8" ht="15.75" x14ac:dyDescent="0.25">
      <c r="A1" s="2" t="s">
        <v>104</v>
      </c>
    </row>
    <row r="3" spans="1:8" x14ac:dyDescent="0.2">
      <c r="A3" t="s">
        <v>91</v>
      </c>
      <c r="B3" t="s">
        <v>92</v>
      </c>
      <c r="C3" t="s">
        <v>89</v>
      </c>
      <c r="D3" t="s">
        <v>90</v>
      </c>
      <c r="E3" t="s">
        <v>146</v>
      </c>
      <c r="F3" t="s">
        <v>147</v>
      </c>
      <c r="G3" t="s">
        <v>145</v>
      </c>
      <c r="H3" t="s">
        <v>149</v>
      </c>
    </row>
    <row r="4" spans="1:8" x14ac:dyDescent="0.2">
      <c r="A4">
        <v>121</v>
      </c>
      <c r="B4" t="str">
        <f>VLOOKUP($A4,subverdichting[[Nummer subverdichting]:[Naam subverdichting]],2,FALSE)</f>
        <v>Gebouwen</v>
      </c>
      <c r="E4" s="6">
        <f>SUMIFS(jrrekdata_grb[Balans vorig jaar],jrrekdata_grb[Balans saldo],'Tabel jaarrekening subverdichti'!$A4)</f>
        <v>0</v>
      </c>
      <c r="F4" s="6">
        <f>SUMIFS(jrrekdata_grb[Saldo W&amp;V],jrrekdata_grb[Balans saldo],'Tabel jaarrekening subverdichti'!$A4)</f>
        <v>0</v>
      </c>
      <c r="G4" s="6">
        <f>SUMIFS(jrrekdata_grb[W&amp;V vorig jr.],jrrekdata_grb[Balans saldo],'Tabel jaarrekening subverdichti'!$A4)</f>
        <v>0</v>
      </c>
      <c r="H4" s="6">
        <f>SUMIFS(jrrekdata_grb[Budget],jrrekdata_grb[Balans saldo],'Tabel jaarrekening subverdichti'!$A4)</f>
        <v>0</v>
      </c>
    </row>
    <row r="5" spans="1:8" x14ac:dyDescent="0.2">
      <c r="A5">
        <v>122</v>
      </c>
      <c r="B5" t="str">
        <f>VLOOKUP($A5,subverdichting[[Nummer subverdichting]:[Naam subverdichting]],2,FALSE)</f>
        <v>Inventaris en apparatuur</v>
      </c>
      <c r="E5" s="6">
        <f>SUMIFS(jrrekdata_grb[Balans vorig jaar],jrrekdata_grb[Balans saldo],'Tabel jaarrekening subverdichti'!$A5)</f>
        <v>0</v>
      </c>
      <c r="F5" s="6">
        <f>SUMIFS(jrrekdata_grb[Saldo W&amp;V],jrrekdata_grb[Balans saldo],'Tabel jaarrekening subverdichti'!$A5)</f>
        <v>0</v>
      </c>
      <c r="G5" s="6">
        <f>SUMIFS(jrrekdata_grb[W&amp;V vorig jr.],jrrekdata_grb[Balans saldo],'Tabel jaarrekening subverdichti'!$A5)</f>
        <v>0</v>
      </c>
      <c r="H5" s="6">
        <f>SUMIFS(jrrekdata_grb[Budget],jrrekdata_grb[Balans saldo],'Tabel jaarrekening subverdichti'!$A5)</f>
        <v>0</v>
      </c>
    </row>
    <row r="6" spans="1:8" x14ac:dyDescent="0.2">
      <c r="A6">
        <v>151</v>
      </c>
      <c r="B6" t="str">
        <f>VLOOKUP($A6,subverdichting[[Nummer subverdichting]:[Naam subverdichting]],2,FALSE)</f>
        <v>Debiteuren</v>
      </c>
      <c r="E6" s="6">
        <f>SUMIFS(jrrekdata_grb[Balans vorig jaar],jrrekdata_grb[Balans saldo],'Tabel jaarrekening subverdichti'!$A6)</f>
        <v>0</v>
      </c>
      <c r="F6" s="6">
        <f>SUMIFS(jrrekdata_grb[Saldo W&amp;V],jrrekdata_grb[Balans saldo],'Tabel jaarrekening subverdichti'!$A6)</f>
        <v>0</v>
      </c>
      <c r="G6" s="6">
        <f>SUMIFS(jrrekdata_grb[W&amp;V vorig jr.],jrrekdata_grb[Balans saldo],'Tabel jaarrekening subverdichti'!$A6)</f>
        <v>0</v>
      </c>
      <c r="H6" s="6">
        <f>SUMIFS(jrrekdata_grb[Budget],jrrekdata_grb[Balans saldo],'Tabel jaarrekening subverdichti'!$A6)</f>
        <v>0</v>
      </c>
    </row>
    <row r="7" spans="1:8" x14ac:dyDescent="0.2">
      <c r="A7">
        <v>157</v>
      </c>
      <c r="B7" t="str">
        <f>VLOOKUP($A7,subverdichting[[Nummer subverdichting]:[Naam subverdichting]],2,FALSE)</f>
        <v>Overige vorderingen</v>
      </c>
      <c r="E7" s="6">
        <f>SUMIFS(jrrekdata_grb[Balans vorig jaar],jrrekdata_grb[Balans saldo],'Tabel jaarrekening subverdichti'!$A7)</f>
        <v>0</v>
      </c>
      <c r="F7" s="6">
        <f>SUMIFS(jrrekdata_grb[Saldo W&amp;V],jrrekdata_grb[Balans saldo],'Tabel jaarrekening subverdichti'!$A7)</f>
        <v>0</v>
      </c>
      <c r="G7" s="6">
        <f>SUMIFS(jrrekdata_grb[W&amp;V vorig jr.],jrrekdata_grb[Balans saldo],'Tabel jaarrekening subverdichti'!$A7)</f>
        <v>0</v>
      </c>
      <c r="H7" s="6">
        <f>SUMIFS(jrrekdata_grb[Budget],jrrekdata_grb[Balans saldo],'Tabel jaarrekening subverdichti'!$A7)</f>
        <v>0</v>
      </c>
    </row>
    <row r="8" spans="1:8" x14ac:dyDescent="0.2">
      <c r="A8">
        <v>158</v>
      </c>
      <c r="B8" t="str">
        <f>VLOOKUP($A8,subverdichting[[Nummer subverdichting]:[Naam subverdichting]],2,FALSE)</f>
        <v>Overlopende activa</v>
      </c>
      <c r="E8" s="6">
        <f>SUMIFS(jrrekdata_grb[Balans vorig jaar],jrrekdata_grb[Balans saldo],'Tabel jaarrekening subverdichti'!$A8)</f>
        <v>0</v>
      </c>
      <c r="F8" s="6">
        <f>SUMIFS(jrrekdata_grb[Saldo W&amp;V],jrrekdata_grb[Balans saldo],'Tabel jaarrekening subverdichti'!$A8)</f>
        <v>0</v>
      </c>
      <c r="G8" s="6">
        <f>SUMIFS(jrrekdata_grb[W&amp;V vorig jr.],jrrekdata_grb[Balans saldo],'Tabel jaarrekening subverdichti'!$A8)</f>
        <v>0</v>
      </c>
      <c r="H8" s="6">
        <f>SUMIFS(jrrekdata_grb[Budget],jrrekdata_grb[Balans saldo],'Tabel jaarrekening subverdichti'!$A8)</f>
        <v>0</v>
      </c>
    </row>
    <row r="9" spans="1:8" x14ac:dyDescent="0.2">
      <c r="A9">
        <v>172</v>
      </c>
      <c r="B9" t="str">
        <f>VLOOKUP($A9,subverdichting[[Nummer subverdichting]:[Naam subverdichting]],2,FALSE)</f>
        <v>Tegoeden op bankrekeningen</v>
      </c>
      <c r="E9" s="6">
        <f>SUMIFS(jrrekdata_grb[Balans vorig jaar],jrrekdata_grb[Balans saldo],'Tabel jaarrekening subverdichti'!$A9)</f>
        <v>0</v>
      </c>
      <c r="F9" s="6">
        <f>SUMIFS(jrrekdata_grb[Saldo W&amp;V],jrrekdata_grb[Balans saldo],'Tabel jaarrekening subverdichti'!$A9)</f>
        <v>0</v>
      </c>
      <c r="G9" s="6">
        <f>SUMIFS(jrrekdata_grb[W&amp;V vorig jr.],jrrekdata_grb[Balans saldo],'Tabel jaarrekening subverdichti'!$A9)</f>
        <v>0</v>
      </c>
      <c r="H9" s="6">
        <f>SUMIFS(jrrekdata_grb[Budget],jrrekdata_grb[Balans saldo],'Tabel jaarrekening subverdichti'!$A9)</f>
        <v>0</v>
      </c>
    </row>
    <row r="10" spans="1:8" x14ac:dyDescent="0.2">
      <c r="A10">
        <v>211</v>
      </c>
      <c r="B10" t="str">
        <f>VLOOKUP($A10,subverdichting[[Nummer subverdichting]:[Naam subverdichting]],2,FALSE)</f>
        <v>Algemene reserve</v>
      </c>
      <c r="E10" s="6">
        <f>SUMIFS(jrrekdata_grb[Balans vorig jaar],jrrekdata_grb[Balans saldo],'Tabel jaarrekening subverdichti'!$A10)</f>
        <v>0</v>
      </c>
      <c r="F10" s="6">
        <f>SUMIFS(jrrekdata_grb[Saldo W&amp;V],jrrekdata_grb[Balans saldo],'Tabel jaarrekening subverdichti'!$A10)</f>
        <v>0</v>
      </c>
      <c r="G10" s="6">
        <f>SUMIFS(jrrekdata_grb[W&amp;V vorig jr.],jrrekdata_grb[Balans saldo],'Tabel jaarrekening subverdichti'!$A10)</f>
        <v>0</v>
      </c>
      <c r="H10" s="6">
        <f>SUMIFS(jrrekdata_grb[Budget],jrrekdata_grb[Balans saldo],'Tabel jaarrekening subverdichti'!$A10)</f>
        <v>0</v>
      </c>
    </row>
    <row r="11" spans="1:8" x14ac:dyDescent="0.2">
      <c r="A11">
        <v>213</v>
      </c>
      <c r="B11" t="str">
        <f>VLOOKUP($A11,subverdichting[[Nummer subverdichting]:[Naam subverdichting]],2,FALSE)</f>
        <v>Bestemmingsreserves</v>
      </c>
      <c r="E11" s="6">
        <f>SUMIFS(jrrekdata_grb[Balans vorig jaar],jrrekdata_grb[Balans saldo],'Tabel jaarrekening subverdichti'!$A11)</f>
        <v>0</v>
      </c>
      <c r="F11" s="6">
        <f>SUMIFS(jrrekdata_grb[Saldo W&amp;V],jrrekdata_grb[Balans saldo],'Tabel jaarrekening subverdichti'!$A11)</f>
        <v>0</v>
      </c>
      <c r="G11" s="6">
        <f>SUMIFS(jrrekdata_grb[W&amp;V vorig jr.],jrrekdata_grb[Balans saldo],'Tabel jaarrekening subverdichti'!$A11)</f>
        <v>0</v>
      </c>
      <c r="H11" s="6">
        <f>SUMIFS(jrrekdata_grb[Budget],jrrekdata_grb[Balans saldo],'Tabel jaarrekening subverdichti'!$A11)</f>
        <v>0</v>
      </c>
    </row>
    <row r="12" spans="1:8" x14ac:dyDescent="0.2">
      <c r="A12">
        <v>223</v>
      </c>
      <c r="B12" t="str">
        <f>VLOOKUP($A12,subverdichting[[Nummer subverdichting]:[Naam subverdichting]],2,FALSE)</f>
        <v>Onderhoudsvoorziening</v>
      </c>
      <c r="E12" s="6">
        <f>SUMIFS(jrrekdata_grb[Balans vorig jaar],jrrekdata_grb[Balans saldo],'Tabel jaarrekening subverdichti'!$A12)</f>
        <v>0</v>
      </c>
      <c r="F12" s="6">
        <f>SUMIFS(jrrekdata_grb[Saldo W&amp;V],jrrekdata_grb[Balans saldo],'Tabel jaarrekening subverdichti'!$A12)</f>
        <v>0</v>
      </c>
      <c r="G12" s="6">
        <f>SUMIFS(jrrekdata_grb[W&amp;V vorig jr.],jrrekdata_grb[Balans saldo],'Tabel jaarrekening subverdichti'!$A12)</f>
        <v>0</v>
      </c>
      <c r="H12" s="6">
        <f>SUMIFS(jrrekdata_grb[Budget],jrrekdata_grb[Balans saldo],'Tabel jaarrekening subverdichti'!$A12)</f>
        <v>0</v>
      </c>
    </row>
    <row r="13" spans="1:8" x14ac:dyDescent="0.2">
      <c r="A13">
        <v>235</v>
      </c>
      <c r="B13" t="str">
        <f>VLOOKUP($A13,subverdichting[[Nummer subverdichting]:[Naam subverdichting]],2,FALSE)</f>
        <v>Overige langlopende schulden</v>
      </c>
      <c r="E13" s="6">
        <f>SUMIFS(jrrekdata_grb[Balans vorig jaar],jrrekdata_grb[Balans saldo],'Tabel jaarrekening subverdichti'!$A13)</f>
        <v>0</v>
      </c>
      <c r="F13" s="6">
        <f>SUMIFS(jrrekdata_grb[Saldo W&amp;V],jrrekdata_grb[Balans saldo],'Tabel jaarrekening subverdichti'!$A13)</f>
        <v>0</v>
      </c>
      <c r="G13" s="6">
        <f>SUMIFS(jrrekdata_grb[W&amp;V vorig jr.],jrrekdata_grb[Balans saldo],'Tabel jaarrekening subverdichti'!$A13)</f>
        <v>0</v>
      </c>
      <c r="H13" s="6">
        <f>SUMIFS(jrrekdata_grb[Budget],jrrekdata_grb[Balans saldo],'Tabel jaarrekening subverdichti'!$A13)</f>
        <v>0</v>
      </c>
    </row>
    <row r="14" spans="1:8" x14ac:dyDescent="0.2">
      <c r="A14">
        <v>241</v>
      </c>
      <c r="B14" t="str">
        <f>VLOOKUP($A14,subverdichting[[Nummer subverdichting]:[Naam subverdichting]],2,FALSE)</f>
        <v>Overlopende passiva</v>
      </c>
      <c r="E14" s="6">
        <f>SUMIFS(jrrekdata_grb[Balans vorig jaar],jrrekdata_grb[Balans saldo],'Tabel jaarrekening subverdichti'!$A14)</f>
        <v>0</v>
      </c>
      <c r="F14" s="6">
        <f>SUMIFS(jrrekdata_grb[Saldo W&amp;V],jrrekdata_grb[Balans saldo],'Tabel jaarrekening subverdichti'!$A14)</f>
        <v>0</v>
      </c>
      <c r="G14" s="6">
        <f>SUMIFS(jrrekdata_grb[W&amp;V vorig jr.],jrrekdata_grb[Balans saldo],'Tabel jaarrekening subverdichti'!$A14)</f>
        <v>0</v>
      </c>
      <c r="H14" s="6">
        <f>SUMIFS(jrrekdata_grb[Budget],jrrekdata_grb[Balans saldo],'Tabel jaarrekening subverdichti'!$A14)</f>
        <v>0</v>
      </c>
    </row>
    <row r="15" spans="1:8" x14ac:dyDescent="0.2">
      <c r="A15">
        <v>243</v>
      </c>
      <c r="B15" t="str">
        <f>VLOOKUP($A15,subverdichting[[Nummer subverdichting]:[Naam subverdichting]],2,FALSE)</f>
        <v>Crediteuren</v>
      </c>
      <c r="E15" s="6">
        <f>SUMIFS(jrrekdata_grb[Balans vorig jaar],jrrekdata_grb[Balans saldo],'Tabel jaarrekening subverdichti'!$A15)</f>
        <v>0</v>
      </c>
      <c r="F15" s="6">
        <f>SUMIFS(jrrekdata_grb[Saldo W&amp;V],jrrekdata_grb[Balans saldo],'Tabel jaarrekening subverdichti'!$A15)</f>
        <v>0</v>
      </c>
      <c r="G15" s="6">
        <f>SUMIFS(jrrekdata_grb[W&amp;V vorig jr.],jrrekdata_grb[Balans saldo],'Tabel jaarrekening subverdichti'!$A15)</f>
        <v>0</v>
      </c>
      <c r="H15" s="6">
        <f>SUMIFS(jrrekdata_grb[Budget],jrrekdata_grb[Balans saldo],'Tabel jaarrekening subverdichti'!$A15)</f>
        <v>0</v>
      </c>
    </row>
    <row r="16" spans="1:8" x14ac:dyDescent="0.2">
      <c r="A16">
        <v>247</v>
      </c>
      <c r="B16" t="str">
        <f>VLOOKUP($A16,subverdichting[[Nummer subverdichting]:[Naam subverdichting]],2,FALSE)</f>
        <v>Belastingen en premies soc ver</v>
      </c>
      <c r="E16" s="6">
        <f>SUMIFS(jrrekdata_grb[Balans vorig jaar],jrrekdata_grb[Balans saldo],'Tabel jaarrekening subverdichti'!$A16)</f>
        <v>0</v>
      </c>
      <c r="F16" s="6">
        <f>SUMIFS(jrrekdata_grb[Saldo W&amp;V],jrrekdata_grb[Balans saldo],'Tabel jaarrekening subverdichti'!$A16)</f>
        <v>0</v>
      </c>
      <c r="G16" s="6">
        <f>SUMIFS(jrrekdata_grb[W&amp;V vorig jr.],jrrekdata_grb[Balans saldo],'Tabel jaarrekening subverdichti'!$A16)</f>
        <v>0</v>
      </c>
      <c r="H16" s="6">
        <f>SUMIFS(jrrekdata_grb[Budget],jrrekdata_grb[Balans saldo],'Tabel jaarrekening subverdichti'!$A16)</f>
        <v>0</v>
      </c>
    </row>
    <row r="17" spans="1:8" x14ac:dyDescent="0.2">
      <c r="A17">
        <v>248</v>
      </c>
      <c r="B17" t="str">
        <f>VLOOKUP($A17,subverdichting[[Nummer subverdichting]:[Naam subverdichting]],2,FALSE)</f>
        <v>Schulden terzake pensioenen</v>
      </c>
      <c r="E17" s="6">
        <f>SUMIFS(jrrekdata_grb[Balans vorig jaar],jrrekdata_grb[Balans saldo],'Tabel jaarrekening subverdichti'!$A17)</f>
        <v>0</v>
      </c>
      <c r="F17" s="6">
        <f>SUMIFS(jrrekdata_grb[Saldo W&amp;V],jrrekdata_grb[Balans saldo],'Tabel jaarrekening subverdichti'!$A17)</f>
        <v>0</v>
      </c>
      <c r="G17" s="6">
        <f>SUMIFS(jrrekdata_grb[W&amp;V vorig jr.],jrrekdata_grb[Balans saldo],'Tabel jaarrekening subverdichti'!$A17)</f>
        <v>0</v>
      </c>
      <c r="H17" s="6">
        <f>SUMIFS(jrrekdata_grb[Budget],jrrekdata_grb[Balans saldo],'Tabel jaarrekening subverdichti'!$A17)</f>
        <v>0</v>
      </c>
    </row>
    <row r="18" spans="1:8" x14ac:dyDescent="0.2">
      <c r="A18">
        <v>351</v>
      </c>
      <c r="B18" t="str">
        <f>VLOOKUP($A18,subverdichting[[Nummer subverdichting]:[Naam subverdichting]],2,FALSE)</f>
        <v>VVB</v>
      </c>
      <c r="E18" s="6">
        <f>SUMIFS(jrrekdata_grb[Balans vorig jaar],jrrekdata_grb[Balans saldo],'Tabel jaarrekening subverdichti'!$A18)</f>
        <v>0</v>
      </c>
      <c r="F18" s="6">
        <f>SUMIFS(jrrekdata_grb[Saldo W&amp;V],jrrekdata_grb[Balans saldo],'Tabel jaarrekening subverdichti'!$A18)</f>
        <v>0</v>
      </c>
      <c r="G18" s="6">
        <f>SUMIFS(jrrekdata_grb[W&amp;V vorig jr.],jrrekdata_grb[Balans saldo],'Tabel jaarrekening subverdichti'!$A18)</f>
        <v>0</v>
      </c>
      <c r="H18" s="6">
        <f>SUMIFS(jrrekdata_grb[Budget],jrrekdata_grb[Balans saldo],'Tabel jaarrekening subverdichti'!$A18)</f>
        <v>0</v>
      </c>
    </row>
    <row r="19" spans="1:8" x14ac:dyDescent="0.2">
      <c r="A19">
        <v>352</v>
      </c>
      <c r="B19" t="str">
        <f>VLOOKUP($A19,subverdichting[[Nummer subverdichting]:[Naam subverdichting]],2,FALSE)</f>
        <v>Verhuur</v>
      </c>
      <c r="E19" s="6">
        <f>SUMIFS(jrrekdata_grb[Balans vorig jaar],jrrekdata_grb[Balans saldo],'Tabel jaarrekening subverdichti'!$A19)</f>
        <v>0</v>
      </c>
      <c r="F19" s="6">
        <f>SUMIFS(jrrekdata_grb[Saldo W&amp;V],jrrekdata_grb[Balans saldo],'Tabel jaarrekening subverdichti'!$A19)</f>
        <v>0</v>
      </c>
      <c r="G19" s="6">
        <f>SUMIFS(jrrekdata_grb[W&amp;V vorig jr.],jrrekdata_grb[Balans saldo],'Tabel jaarrekening subverdichti'!$A19)</f>
        <v>0</v>
      </c>
      <c r="H19" s="6">
        <f>SUMIFS(jrrekdata_grb[Budget],jrrekdata_grb[Balans saldo],'Tabel jaarrekening subverdichti'!$A19)</f>
        <v>0</v>
      </c>
    </row>
    <row r="20" spans="1:8" x14ac:dyDescent="0.2">
      <c r="A20">
        <v>353</v>
      </c>
      <c r="B20" t="str">
        <f>VLOOKUP($A20,subverdichting[[Nummer subverdichting]:[Naam subverdichting]],2,FALSE)</f>
        <v>Collectes afdr landelijk kerkverband</v>
      </c>
      <c r="E20" s="6">
        <f>SUMIFS(jrrekdata_grb[Balans vorig jaar],jrrekdata_grb[Balans saldo],'Tabel jaarrekening subverdichti'!$A20)</f>
        <v>0</v>
      </c>
      <c r="F20" s="6">
        <f>SUMIFS(jrrekdata_grb[Saldo W&amp;V],jrrekdata_grb[Balans saldo],'Tabel jaarrekening subverdichti'!$A20)</f>
        <v>0</v>
      </c>
      <c r="G20" s="6">
        <f>SUMIFS(jrrekdata_grb[W&amp;V vorig jr.],jrrekdata_grb[Balans saldo],'Tabel jaarrekening subverdichti'!$A20)</f>
        <v>0</v>
      </c>
      <c r="H20" s="6">
        <f>SUMIFS(jrrekdata_grb[Budget],jrrekdata_grb[Balans saldo],'Tabel jaarrekening subverdichti'!$A20)</f>
        <v>0</v>
      </c>
    </row>
    <row r="21" spans="1:8" x14ac:dyDescent="0.2">
      <c r="A21">
        <v>356</v>
      </c>
      <c r="B21" t="str">
        <f>VLOOKUP($A21,subverdichting[[Nummer subverdichting]:[Naam subverdichting]],2,FALSE)</f>
        <v>Overige baten</v>
      </c>
      <c r="E21" s="6">
        <f>SUMIFS(jrrekdata_grb[Balans vorig jaar],jrrekdata_grb[Balans saldo],'Tabel jaarrekening subverdichti'!$A21)</f>
        <v>0</v>
      </c>
      <c r="F21" s="6">
        <f>SUMIFS(jrrekdata_grb[Saldo W&amp;V],jrrekdata_grb[Balans saldo],'Tabel jaarrekening subverdichti'!$A21)</f>
        <v>0</v>
      </c>
      <c r="G21" s="6">
        <f>SUMIFS(jrrekdata_grb[W&amp;V vorig jr.],jrrekdata_grb[Balans saldo],'Tabel jaarrekening subverdichti'!$A21)</f>
        <v>0</v>
      </c>
      <c r="H21" s="6">
        <f>SUMIFS(jrrekdata_grb[Budget],jrrekdata_grb[Balans saldo],'Tabel jaarrekening subverdichti'!$A21)</f>
        <v>0</v>
      </c>
    </row>
    <row r="22" spans="1:8" x14ac:dyDescent="0.2">
      <c r="A22">
        <v>411</v>
      </c>
      <c r="B22" t="str">
        <f>VLOOKUP($A22,subverdichting[[Nummer subverdichting]:[Naam subverdichting]],2,FALSE)</f>
        <v>Lonen en salarissen</v>
      </c>
      <c r="E22" s="6">
        <f>SUMIFS(jrrekdata_grb[Balans vorig jaar],jrrekdata_grb[Balans saldo],'Tabel jaarrekening subverdichti'!$A22)</f>
        <v>0</v>
      </c>
      <c r="F22" s="6">
        <f>SUMIFS(jrrekdata_grb[Saldo W&amp;V],jrrekdata_grb[Balans saldo],'Tabel jaarrekening subverdichti'!$A22)</f>
        <v>0</v>
      </c>
      <c r="G22" s="6">
        <f>SUMIFS(jrrekdata_grb[W&amp;V vorig jr.],jrrekdata_grb[Balans saldo],'Tabel jaarrekening subverdichti'!$A22)</f>
        <v>0</v>
      </c>
      <c r="H22" s="6">
        <f>SUMIFS(jrrekdata_grb[Budget],jrrekdata_grb[Balans saldo],'Tabel jaarrekening subverdichti'!$A22)</f>
        <v>0</v>
      </c>
    </row>
    <row r="23" spans="1:8" x14ac:dyDescent="0.2">
      <c r="A23">
        <v>412</v>
      </c>
      <c r="B23" t="str">
        <f>VLOOKUP($A23,subverdichting[[Nummer subverdichting]:[Naam subverdichting]],2,FALSE)</f>
        <v>Overige personele lasten</v>
      </c>
      <c r="E23" s="6">
        <f>SUMIFS(jrrekdata_grb[Balans vorig jaar],jrrekdata_grb[Balans saldo],'Tabel jaarrekening subverdichti'!$A23)</f>
        <v>0</v>
      </c>
      <c r="F23" s="6">
        <f>SUMIFS(jrrekdata_grb[Saldo W&amp;V],jrrekdata_grb[Balans saldo],'Tabel jaarrekening subverdichti'!$A23)</f>
        <v>0</v>
      </c>
      <c r="G23" s="6">
        <f>SUMIFS(jrrekdata_grb[W&amp;V vorig jr.],jrrekdata_grb[Balans saldo],'Tabel jaarrekening subverdichti'!$A23)</f>
        <v>0</v>
      </c>
      <c r="H23" s="6">
        <f>SUMIFS(jrrekdata_grb[Budget],jrrekdata_grb[Balans saldo],'Tabel jaarrekening subverdichti'!$A23)</f>
        <v>0</v>
      </c>
    </row>
    <row r="24" spans="1:8" x14ac:dyDescent="0.2">
      <c r="A24">
        <v>422</v>
      </c>
      <c r="B24" t="str">
        <f>VLOOKUP($A24,subverdichting[[Nummer subverdichting]:[Naam subverdichting]],2,FALSE)</f>
        <v>Afschrijvingskosten</v>
      </c>
      <c r="E24" s="6">
        <f>SUMIFS(jrrekdata_grb[Balans vorig jaar],jrrekdata_grb[Balans saldo],'Tabel jaarrekening subverdichti'!$A24)</f>
        <v>0</v>
      </c>
      <c r="F24" s="6">
        <f>SUMIFS(jrrekdata_grb[Saldo W&amp;V],jrrekdata_grb[Balans saldo],'Tabel jaarrekening subverdichti'!$A24)</f>
        <v>0</v>
      </c>
      <c r="G24" s="6">
        <f>SUMIFS(jrrekdata_grb[W&amp;V vorig jr.],jrrekdata_grb[Balans saldo],'Tabel jaarrekening subverdichti'!$A24)</f>
        <v>0</v>
      </c>
      <c r="H24" s="6">
        <f>SUMIFS(jrrekdata_grb[Budget],jrrekdata_grb[Balans saldo],'Tabel jaarrekening subverdichti'!$A24)</f>
        <v>0</v>
      </c>
    </row>
    <row r="25" spans="1:8" x14ac:dyDescent="0.2">
      <c r="A25">
        <v>431</v>
      </c>
      <c r="B25" t="str">
        <f>VLOOKUP($A25,subverdichting[[Nummer subverdichting]:[Naam subverdichting]],2,FALSE)</f>
        <v>Huurlasten</v>
      </c>
      <c r="E25" s="6">
        <f>SUMIFS(jrrekdata_grb[Balans vorig jaar],jrrekdata_grb[Balans saldo],'Tabel jaarrekening subverdichti'!$A25)</f>
        <v>0</v>
      </c>
      <c r="F25" s="6">
        <f>SUMIFS(jrrekdata_grb[Saldo W&amp;V],jrrekdata_grb[Balans saldo],'Tabel jaarrekening subverdichti'!$A25)</f>
        <v>0</v>
      </c>
      <c r="G25" s="6">
        <f>SUMIFS(jrrekdata_grb[W&amp;V vorig jr.],jrrekdata_grb[Balans saldo],'Tabel jaarrekening subverdichti'!$A25)</f>
        <v>0</v>
      </c>
      <c r="H25" s="6">
        <f>SUMIFS(jrrekdata_grb[Budget],jrrekdata_grb[Balans saldo],'Tabel jaarrekening subverdichti'!$A25)</f>
        <v>0</v>
      </c>
    </row>
    <row r="26" spans="1:8" x14ac:dyDescent="0.2">
      <c r="A26">
        <v>433</v>
      </c>
      <c r="B26" t="str">
        <f>VLOOKUP($A26,subverdichting[[Nummer subverdichting]:[Naam subverdichting]],2,FALSE)</f>
        <v>Onderhoudslasten</v>
      </c>
      <c r="E26" s="6">
        <f>SUMIFS(jrrekdata_grb[Balans vorig jaar],jrrekdata_grb[Balans saldo],'Tabel jaarrekening subverdichti'!$A26)</f>
        <v>0</v>
      </c>
      <c r="F26" s="6">
        <f>SUMIFS(jrrekdata_grb[Saldo W&amp;V],jrrekdata_grb[Balans saldo],'Tabel jaarrekening subverdichti'!$A26)</f>
        <v>0</v>
      </c>
      <c r="G26" s="6">
        <f>SUMIFS(jrrekdata_grb[W&amp;V vorig jr.],jrrekdata_grb[Balans saldo],'Tabel jaarrekening subverdichti'!$A26)</f>
        <v>0</v>
      </c>
      <c r="H26" s="6">
        <f>SUMIFS(jrrekdata_grb[Budget],jrrekdata_grb[Balans saldo],'Tabel jaarrekening subverdichti'!$A26)</f>
        <v>0</v>
      </c>
    </row>
    <row r="27" spans="1:8" x14ac:dyDescent="0.2">
      <c r="A27">
        <v>434</v>
      </c>
      <c r="B27" t="str">
        <f>VLOOKUP($A27,subverdichting[[Nummer subverdichting]:[Naam subverdichting]],2,FALSE)</f>
        <v>Energie en water</v>
      </c>
      <c r="E27" s="6">
        <f>SUMIFS(jrrekdata_grb[Balans vorig jaar],jrrekdata_grb[Balans saldo],'Tabel jaarrekening subverdichti'!$A27)</f>
        <v>0</v>
      </c>
      <c r="F27" s="6">
        <f>SUMIFS(jrrekdata_grb[Saldo W&amp;V],jrrekdata_grb[Balans saldo],'Tabel jaarrekening subverdichti'!$A27)</f>
        <v>0</v>
      </c>
      <c r="G27" s="6">
        <f>SUMIFS(jrrekdata_grb[W&amp;V vorig jr.],jrrekdata_grb[Balans saldo],'Tabel jaarrekening subverdichti'!$A27)</f>
        <v>0</v>
      </c>
      <c r="H27" s="6">
        <f>SUMIFS(jrrekdata_grb[Budget],jrrekdata_grb[Balans saldo],'Tabel jaarrekening subverdichti'!$A27)</f>
        <v>0</v>
      </c>
    </row>
    <row r="28" spans="1:8" x14ac:dyDescent="0.2">
      <c r="A28">
        <v>435</v>
      </c>
      <c r="B28" t="str">
        <f>VLOOKUP($A28,subverdichting[[Nummer subverdichting]:[Naam subverdichting]],2,FALSE)</f>
        <v>Schoonmaakkosten</v>
      </c>
      <c r="E28" s="6">
        <f>SUMIFS(jrrekdata_grb[Balans vorig jaar],jrrekdata_grb[Balans saldo],'Tabel jaarrekening subverdichti'!$A28)</f>
        <v>0</v>
      </c>
      <c r="F28" s="6">
        <f>SUMIFS(jrrekdata_grb[Saldo W&amp;V],jrrekdata_grb[Balans saldo],'Tabel jaarrekening subverdichti'!$A28)</f>
        <v>0</v>
      </c>
      <c r="G28" s="6">
        <f>SUMIFS(jrrekdata_grb[W&amp;V vorig jr.],jrrekdata_grb[Balans saldo],'Tabel jaarrekening subverdichti'!$A28)</f>
        <v>0</v>
      </c>
      <c r="H28" s="6">
        <f>SUMIFS(jrrekdata_grb[Budget],jrrekdata_grb[Balans saldo],'Tabel jaarrekening subverdichti'!$A28)</f>
        <v>0</v>
      </c>
    </row>
    <row r="29" spans="1:8" x14ac:dyDescent="0.2">
      <c r="A29">
        <v>436</v>
      </c>
      <c r="B29" t="str">
        <f>VLOOKUP($A29,subverdichting[[Nummer subverdichting]:[Naam subverdichting]],2,FALSE)</f>
        <v>Belastingen en heffingen</v>
      </c>
      <c r="E29" s="6">
        <f>SUMIFS(jrrekdata_grb[Balans vorig jaar],jrrekdata_grb[Balans saldo],'Tabel jaarrekening subverdichti'!$A29)</f>
        <v>0</v>
      </c>
      <c r="F29" s="6">
        <f>SUMIFS(jrrekdata_grb[Saldo W&amp;V],jrrekdata_grb[Balans saldo],'Tabel jaarrekening subverdichti'!$A29)</f>
        <v>0</v>
      </c>
      <c r="G29" s="6">
        <f>SUMIFS(jrrekdata_grb[W&amp;V vorig jr.],jrrekdata_grb[Balans saldo],'Tabel jaarrekening subverdichti'!$A29)</f>
        <v>0</v>
      </c>
      <c r="H29" s="6">
        <f>SUMIFS(jrrekdata_grb[Budget],jrrekdata_grb[Balans saldo],'Tabel jaarrekening subverdichti'!$A29)</f>
        <v>0</v>
      </c>
    </row>
    <row r="30" spans="1:8" x14ac:dyDescent="0.2">
      <c r="A30">
        <v>437</v>
      </c>
      <c r="B30" t="str">
        <f>VLOOKUP($A30,subverdichting[[Nummer subverdichting]:[Naam subverdichting]],2,FALSE)</f>
        <v>Dotatie onderhoudsvoorziening</v>
      </c>
      <c r="E30" s="6">
        <f>SUMIFS(jrrekdata_grb[Balans vorig jaar],jrrekdata_grb[Balans saldo],'Tabel jaarrekening subverdichti'!$A30)</f>
        <v>0</v>
      </c>
      <c r="F30" s="6">
        <f>SUMIFS(jrrekdata_grb[Saldo W&amp;V],jrrekdata_grb[Balans saldo],'Tabel jaarrekening subverdichti'!$A30)</f>
        <v>0</v>
      </c>
      <c r="G30" s="6">
        <f>SUMIFS(jrrekdata_grb[W&amp;V vorig jr.],jrrekdata_grb[Balans saldo],'Tabel jaarrekening subverdichti'!$A30)</f>
        <v>0</v>
      </c>
      <c r="H30" s="6">
        <f>SUMIFS(jrrekdata_grb[Budget],jrrekdata_grb[Balans saldo],'Tabel jaarrekening subverdichti'!$A30)</f>
        <v>0</v>
      </c>
    </row>
    <row r="31" spans="1:8" x14ac:dyDescent="0.2">
      <c r="A31">
        <v>438</v>
      </c>
      <c r="B31" t="str">
        <f>VLOOKUP($A31,subverdichting[[Nummer subverdichting]:[Naam subverdichting]],2,FALSE)</f>
        <v>Overige huisvestingslaten</v>
      </c>
      <c r="E31" s="6">
        <f>SUMIFS(jrrekdata_grb[Balans vorig jaar],jrrekdata_grb[Balans saldo],'Tabel jaarrekening subverdichti'!$A31)</f>
        <v>0</v>
      </c>
      <c r="F31" s="6">
        <f>SUMIFS(jrrekdata_grb[Saldo W&amp;V],jrrekdata_grb[Balans saldo],'Tabel jaarrekening subverdichti'!$A31)</f>
        <v>0</v>
      </c>
      <c r="G31" s="6">
        <f>SUMIFS(jrrekdata_grb[W&amp;V vorig jr.],jrrekdata_grb[Balans saldo],'Tabel jaarrekening subverdichti'!$A31)</f>
        <v>0</v>
      </c>
      <c r="H31" s="6">
        <f>SUMIFS(jrrekdata_grb[Budget],jrrekdata_grb[Balans saldo],'Tabel jaarrekening subverdichti'!$A31)</f>
        <v>0</v>
      </c>
    </row>
    <row r="32" spans="1:8" x14ac:dyDescent="0.2">
      <c r="A32">
        <v>441</v>
      </c>
      <c r="B32" t="str">
        <f>VLOOKUP($A32,subverdichting[[Nummer subverdichting]:[Naam subverdichting]],2,FALSE)</f>
        <v>Administratie en beheerslasten</v>
      </c>
      <c r="E32" s="6">
        <f>SUMIFS(jrrekdata_grb[Balans vorig jaar],jrrekdata_grb[Balans saldo],'Tabel jaarrekening subverdichti'!$A32)</f>
        <v>0</v>
      </c>
      <c r="F32" s="6">
        <f>SUMIFS(jrrekdata_grb[Saldo W&amp;V],jrrekdata_grb[Balans saldo],'Tabel jaarrekening subverdichti'!$A32)</f>
        <v>0</v>
      </c>
      <c r="G32" s="6">
        <f>SUMIFS(jrrekdata_grb[W&amp;V vorig jr.],jrrekdata_grb[Balans saldo],'Tabel jaarrekening subverdichti'!$A32)</f>
        <v>0</v>
      </c>
      <c r="H32" s="6">
        <f>SUMIFS(jrrekdata_grb[Budget],jrrekdata_grb[Balans saldo],'Tabel jaarrekening subverdichti'!$A32)</f>
        <v>0</v>
      </c>
    </row>
    <row r="33" spans="1:8" x14ac:dyDescent="0.2">
      <c r="A33">
        <v>442</v>
      </c>
      <c r="B33" t="str">
        <f>VLOOKUP($A33,subverdichting[[Nummer subverdichting]:[Naam subverdichting]],2,FALSE)</f>
        <v>Inventaris en apparatuur</v>
      </c>
      <c r="E33" s="6">
        <f>SUMIFS(jrrekdata_grb[Balans vorig jaar],jrrekdata_grb[Balans saldo],'Tabel jaarrekening subverdichti'!$A33)</f>
        <v>0</v>
      </c>
      <c r="F33" s="6">
        <f>SUMIFS(jrrekdata_grb[Saldo W&amp;V],jrrekdata_grb[Balans saldo],'Tabel jaarrekening subverdichti'!$A33)</f>
        <v>0</v>
      </c>
      <c r="G33" s="6">
        <f>SUMIFS(jrrekdata_grb[W&amp;V vorig jr.],jrrekdata_grb[Balans saldo],'Tabel jaarrekening subverdichti'!$A33)</f>
        <v>0</v>
      </c>
      <c r="H33" s="6">
        <f>SUMIFS(jrrekdata_grb[Budget],jrrekdata_grb[Balans saldo],'Tabel jaarrekening subverdichti'!$A33)</f>
        <v>0</v>
      </c>
    </row>
    <row r="34" spans="1:8" x14ac:dyDescent="0.2">
      <c r="A34">
        <v>444</v>
      </c>
      <c r="B34" t="str">
        <f>VLOOKUP($A34,subverdichting[[Nummer subverdichting]:[Naam subverdichting]],2,FALSE)</f>
        <v>Overige lasten</v>
      </c>
      <c r="E34" s="6">
        <f>SUMIFS(jrrekdata_grb[Balans vorig jaar],jrrekdata_grb[Balans saldo],'Tabel jaarrekening subverdichti'!$A34)</f>
        <v>0</v>
      </c>
      <c r="F34" s="6">
        <f>SUMIFS(jrrekdata_grb[Saldo W&amp;V],jrrekdata_grb[Balans saldo],'Tabel jaarrekening subverdichti'!$A34)</f>
        <v>0</v>
      </c>
      <c r="G34" s="6">
        <f>SUMIFS(jrrekdata_grb[W&amp;V vorig jr.],jrrekdata_grb[Balans saldo],'Tabel jaarrekening subverdichti'!$A34)</f>
        <v>0</v>
      </c>
      <c r="H34" s="6">
        <f>SUMIFS(jrrekdata_grb[Budget],jrrekdata_grb[Balans saldo],'Tabel jaarrekening subverdichti'!$A34)</f>
        <v>0</v>
      </c>
    </row>
    <row r="35" spans="1:8" x14ac:dyDescent="0.2">
      <c r="A35">
        <v>445</v>
      </c>
      <c r="B35" t="str">
        <f>VLOOKUP($A35,subverdichting[[Nummer subverdichting]:[Naam subverdichting]],2,FALSE)</f>
        <v>Kosten activiteiten</v>
      </c>
      <c r="E35" s="6">
        <f>SUMIFS(jrrekdata_grb[Balans vorig jaar],jrrekdata_grb[Balans saldo],'Tabel jaarrekening subverdichti'!$A35)</f>
        <v>0</v>
      </c>
      <c r="F35" s="6">
        <f>SUMIFS(jrrekdata_grb[Saldo W&amp;V],jrrekdata_grb[Balans saldo],'Tabel jaarrekening subverdichti'!$A35)</f>
        <v>0</v>
      </c>
      <c r="G35" s="6">
        <f>SUMIFS(jrrekdata_grb[W&amp;V vorig jr.],jrrekdata_grb[Balans saldo],'Tabel jaarrekening subverdichti'!$A35)</f>
        <v>0</v>
      </c>
      <c r="H35" s="6">
        <f>SUMIFS(jrrekdata_grb[Budget],jrrekdata_grb[Balans saldo],'Tabel jaarrekening subverdichti'!$A35)</f>
        <v>0</v>
      </c>
    </row>
    <row r="36" spans="1:8" x14ac:dyDescent="0.2">
      <c r="A36">
        <v>450</v>
      </c>
      <c r="B36" t="str">
        <f>VLOOKUP($A36,subverdichting[[Nummer subverdichting]:[Naam subverdichting]],2,FALSE)</f>
        <v>Afdrachten aan landelijk kerkverband</v>
      </c>
      <c r="E36" s="6">
        <f>SUMIFS(jrrekdata_grb[Balans vorig jaar],jrrekdata_grb[Balans saldo],'Tabel jaarrekening subverdichti'!$A36)</f>
        <v>0</v>
      </c>
      <c r="F36" s="6">
        <f>SUMIFS(jrrekdata_grb[Saldo W&amp;V],jrrekdata_grb[Balans saldo],'Tabel jaarrekening subverdichti'!$A36)</f>
        <v>0</v>
      </c>
      <c r="G36" s="6">
        <f>SUMIFS(jrrekdata_grb[W&amp;V vorig jr.],jrrekdata_grb[Balans saldo],'Tabel jaarrekening subverdichti'!$A36)</f>
        <v>0</v>
      </c>
      <c r="H36" s="6">
        <f>SUMIFS(jrrekdata_grb[Budget],jrrekdata_grb[Balans saldo],'Tabel jaarrekening subverdichti'!$A36)</f>
        <v>0</v>
      </c>
    </row>
    <row r="37" spans="1:8" x14ac:dyDescent="0.2">
      <c r="A37">
        <v>510</v>
      </c>
      <c r="B37" t="str">
        <f>VLOOKUP($A37,subverdichting[[Nummer subverdichting]:[Naam subverdichting]],2,FALSE)</f>
        <v>Rentebaten</v>
      </c>
      <c r="E37" s="6">
        <f>SUMIFS(jrrekdata_grb[Balans vorig jaar],jrrekdata_grb[Balans saldo],'Tabel jaarrekening subverdichti'!$A37)</f>
        <v>0</v>
      </c>
      <c r="F37" s="6">
        <f>SUMIFS(jrrekdata_grb[Saldo W&amp;V],jrrekdata_grb[Balans saldo],'Tabel jaarrekening subverdichti'!$A37)</f>
        <v>0</v>
      </c>
      <c r="G37" s="6">
        <f>SUMIFS(jrrekdata_grb[W&amp;V vorig jr.],jrrekdata_grb[Balans saldo],'Tabel jaarrekening subverdichti'!$A37)</f>
        <v>0</v>
      </c>
      <c r="H37" s="6">
        <f>SUMIFS(jrrekdata_grb[Budget],jrrekdata_grb[Balans saldo],'Tabel jaarrekening subverdichti'!$A37)</f>
        <v>0</v>
      </c>
    </row>
    <row r="38" spans="1:8" x14ac:dyDescent="0.2">
      <c r="A38">
        <v>550</v>
      </c>
      <c r="B38" t="str">
        <f>VLOOKUP($A38,subverdichting[[Nummer subverdichting]:[Naam subverdichting]],2,FALSE)</f>
        <v>Rentelasten</v>
      </c>
      <c r="E38" s="6">
        <f>SUMIFS(jrrekdata_grb[Balans vorig jaar],jrrekdata_grb[Balans saldo],'Tabel jaarrekening subverdichti'!$A38)</f>
        <v>0</v>
      </c>
      <c r="F38" s="6">
        <f>SUMIFS(jrrekdata_grb[Saldo W&amp;V],jrrekdata_grb[Balans saldo],'Tabel jaarrekening subverdichti'!$A38)</f>
        <v>0</v>
      </c>
      <c r="G38" s="6">
        <f>SUMIFS(jrrekdata_grb[W&amp;V vorig jr.],jrrekdata_grb[Balans saldo],'Tabel jaarrekening subverdichti'!$A38)</f>
        <v>0</v>
      </c>
      <c r="H38" s="6">
        <f>SUMIFS(jrrekdata_grb[Budget],jrrekdata_grb[Balans saldo],'Tabel jaarrekening subverdichti'!$A38)</f>
        <v>0</v>
      </c>
    </row>
    <row r="39" spans="1:8" x14ac:dyDescent="0.2">
      <c r="A39">
        <v>700</v>
      </c>
      <c r="B39" t="str">
        <f>VLOOKUP($A39,subverdichting[[Nummer subverdichting]:[Naam subverdichting]],2,FALSE)</f>
        <v>Resultaat</v>
      </c>
      <c r="E39" s="6">
        <f>SUMIFS(jrrekdata_grb[Balans vorig jaar],jrrekdata_grb[Balans saldo],'Tabel jaarrekening subverdichti'!$A39)</f>
        <v>0</v>
      </c>
      <c r="F39" s="6">
        <f>SUMIFS(jrrekdata_grb[Saldo W&amp;V],jrrekdata_grb[Balans saldo],'Tabel jaarrekening subverdichti'!$A39)</f>
        <v>0</v>
      </c>
      <c r="G39" s="6">
        <f>SUMIFS(jrrekdata_grb[W&amp;V vorig jr.],jrrekdata_grb[Balans saldo],'Tabel jaarrekening subverdichti'!$A39)</f>
        <v>0</v>
      </c>
      <c r="H39" s="6">
        <f>SUMIFS(jrrekdata_grb[Budget],jrrekdata_grb[Balans saldo],'Tabel jaarrekening subverdichti'!$A39)</f>
        <v>0</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1"/>
  <dimension ref="A1:H19"/>
  <sheetViews>
    <sheetView workbookViewId="0">
      <selection activeCell="B22" sqref="B22"/>
    </sheetView>
  </sheetViews>
  <sheetFormatPr defaultRowHeight="12.75" x14ac:dyDescent="0.2"/>
  <cols>
    <col min="1" max="1" width="23.42578125" customWidth="1"/>
    <col min="2" max="2" width="32.7109375" customWidth="1"/>
    <col min="3" max="4" width="0" hidden="1" customWidth="1"/>
    <col min="5" max="5" width="12.42578125" customWidth="1"/>
    <col min="6" max="6" width="16.5703125" customWidth="1"/>
    <col min="7" max="7" width="12.42578125" customWidth="1"/>
    <col min="8" max="8" width="12.28515625" bestFit="1" customWidth="1"/>
    <col min="9" max="9" width="10.7109375" bestFit="1" customWidth="1"/>
  </cols>
  <sheetData>
    <row r="1" spans="1:8" ht="15.75" x14ac:dyDescent="0.25">
      <c r="A1" s="2" t="s">
        <v>105</v>
      </c>
    </row>
    <row r="3" spans="1:8" x14ac:dyDescent="0.2">
      <c r="A3" t="s">
        <v>87</v>
      </c>
      <c r="B3" t="s">
        <v>88</v>
      </c>
      <c r="C3" t="s">
        <v>89</v>
      </c>
      <c r="D3" t="s">
        <v>90</v>
      </c>
      <c r="E3" t="s">
        <v>146</v>
      </c>
      <c r="F3" t="s">
        <v>147</v>
      </c>
      <c r="G3" t="s">
        <v>142</v>
      </c>
      <c r="H3" t="s">
        <v>149</v>
      </c>
    </row>
    <row r="4" spans="1:8" x14ac:dyDescent="0.2">
      <c r="A4">
        <v>12</v>
      </c>
      <c r="B4" t="str">
        <f>VLOOKUP($A4,hoofdverdichting[],2,FALSE)</f>
        <v>MATERIËLE VASTE ACTIVA</v>
      </c>
      <c r="E4" s="6">
        <f>SUMIFS(jrrekdata_grb[Balans vorig jaar],jrrekdata_grb[Beginbalans],'Tabel jaarrekening hoofdverdich'!$A4)</f>
        <v>0</v>
      </c>
      <c r="F4" s="6">
        <f>SUMIFS(jrrekdata_grb[Saldo W&amp;V],jrrekdata_grb[Beginbalans],'Tabel jaarrekening hoofdverdich'!$A4)</f>
        <v>0</v>
      </c>
      <c r="G4" s="6">
        <f>SUMIFS(jrrekdata_grb[W&amp;V vorig jr.],jrrekdata_grb[Beginbalans],'Tabel jaarrekening hoofdverdich'!$A4)</f>
        <v>0</v>
      </c>
      <c r="H4" s="6">
        <f>SUMIFS(jrrekdata_grb[Budget],jrrekdata_grb[Beginbalans],'Tabel jaarrekening hoofdverdich'!$A4)</f>
        <v>0</v>
      </c>
    </row>
    <row r="5" spans="1:8" x14ac:dyDescent="0.2">
      <c r="A5">
        <v>15</v>
      </c>
      <c r="B5" t="str">
        <f>VLOOKUP($A5,hoofdverdichting[],2,FALSE)</f>
        <v>VORDERINGEN</v>
      </c>
      <c r="E5" s="6">
        <f>SUMIFS(jrrekdata_grb[Balans vorig jaar],jrrekdata_grb[Beginbalans],'Tabel jaarrekening hoofdverdich'!$A5)</f>
        <v>0</v>
      </c>
      <c r="F5" s="6">
        <f>SUMIFS(jrrekdata_grb[Saldo W&amp;V],jrrekdata_grb[Beginbalans],'Tabel jaarrekening hoofdverdich'!$A5)</f>
        <v>0</v>
      </c>
      <c r="G5" s="6">
        <f>SUMIFS(jrrekdata_grb[W&amp;V vorig jr.],jrrekdata_grb[Beginbalans],'Tabel jaarrekening hoofdverdich'!$A5)</f>
        <v>0</v>
      </c>
      <c r="H5" s="6">
        <f>SUMIFS(jrrekdata_grb[Budget],jrrekdata_grb[Beginbalans],'Tabel jaarrekening hoofdverdich'!$A5)</f>
        <v>0</v>
      </c>
    </row>
    <row r="6" spans="1:8" x14ac:dyDescent="0.2">
      <c r="A6">
        <v>17</v>
      </c>
      <c r="B6" t="str">
        <f>VLOOKUP($A6,hoofdverdichting[],2,FALSE)</f>
        <v>LIQUIDE MIDDELEN</v>
      </c>
      <c r="E6" s="6">
        <f>SUMIFS(jrrekdata_grb[Balans vorig jaar],jrrekdata_grb[Beginbalans],'Tabel jaarrekening hoofdverdich'!$A6)</f>
        <v>0</v>
      </c>
      <c r="F6" s="6">
        <f>SUMIFS(jrrekdata_grb[Saldo W&amp;V],jrrekdata_grb[Beginbalans],'Tabel jaarrekening hoofdverdich'!$A6)</f>
        <v>0</v>
      </c>
      <c r="G6" s="6">
        <f>SUMIFS(jrrekdata_grb[W&amp;V vorig jr.],jrrekdata_grb[Beginbalans],'Tabel jaarrekening hoofdverdich'!$A6)</f>
        <v>0</v>
      </c>
      <c r="H6" s="6">
        <f>SUMIFS(jrrekdata_grb[Budget],jrrekdata_grb[Beginbalans],'Tabel jaarrekening hoofdverdich'!$A6)</f>
        <v>0</v>
      </c>
    </row>
    <row r="7" spans="1:8" x14ac:dyDescent="0.2">
      <c r="A7">
        <v>21</v>
      </c>
      <c r="B7" t="str">
        <f>VLOOKUP($A7,hoofdverdichting[],2,FALSE)</f>
        <v>EIGEN VERMOGEN</v>
      </c>
      <c r="E7" s="6">
        <f>SUMIFS(jrrekdata_grb[Balans vorig jaar],jrrekdata_grb[Beginbalans],'Tabel jaarrekening hoofdverdich'!$A7)</f>
        <v>0</v>
      </c>
      <c r="F7" s="6">
        <f>SUMIFS(jrrekdata_grb[Saldo W&amp;V],jrrekdata_grb[Beginbalans],'Tabel jaarrekening hoofdverdich'!$A7)</f>
        <v>0</v>
      </c>
      <c r="G7" s="6">
        <f>SUMIFS(jrrekdata_grb[W&amp;V vorig jr.],jrrekdata_grb[Beginbalans],'Tabel jaarrekening hoofdverdich'!$A7)</f>
        <v>0</v>
      </c>
      <c r="H7" s="6">
        <f>SUMIFS(jrrekdata_grb[Budget],jrrekdata_grb[Beginbalans],'Tabel jaarrekening hoofdverdich'!$A7)</f>
        <v>0</v>
      </c>
    </row>
    <row r="8" spans="1:8" x14ac:dyDescent="0.2">
      <c r="A8">
        <v>22</v>
      </c>
      <c r="B8" t="str">
        <f>VLOOKUP($A8,hoofdverdichting[],2,FALSE)</f>
        <v>VOORZIENINGEN</v>
      </c>
      <c r="E8" s="6">
        <f>SUMIFS(jrrekdata_grb[Balans vorig jaar],jrrekdata_grb[Beginbalans],'Tabel jaarrekening hoofdverdich'!$A8)</f>
        <v>0</v>
      </c>
      <c r="F8" s="6">
        <f>SUMIFS(jrrekdata_grb[Saldo W&amp;V],jrrekdata_grb[Beginbalans],'Tabel jaarrekening hoofdverdich'!$A8)</f>
        <v>0</v>
      </c>
      <c r="G8" s="6">
        <f>SUMIFS(jrrekdata_grb[W&amp;V vorig jr.],jrrekdata_grb[Beginbalans],'Tabel jaarrekening hoofdverdich'!$A8)</f>
        <v>0</v>
      </c>
      <c r="H8" s="6">
        <f>SUMIFS(jrrekdata_grb[Budget],jrrekdata_grb[Beginbalans],'Tabel jaarrekening hoofdverdich'!$A8)</f>
        <v>0</v>
      </c>
    </row>
    <row r="9" spans="1:8" x14ac:dyDescent="0.2">
      <c r="A9">
        <v>23</v>
      </c>
      <c r="B9" t="str">
        <f>VLOOKUP($A9,hoofdverdichting[],2,FALSE)</f>
        <v>LANGLOPENDE SCHULDEN</v>
      </c>
      <c r="E9" s="6">
        <f>SUMIFS(jrrekdata_grb[Balans vorig jaar],jrrekdata_grb[Beginbalans],'Tabel jaarrekening hoofdverdich'!$A9)</f>
        <v>0</v>
      </c>
      <c r="F9" s="6">
        <f>SUMIFS(jrrekdata_grb[Saldo W&amp;V],jrrekdata_grb[Beginbalans],'Tabel jaarrekening hoofdverdich'!$A9)</f>
        <v>0</v>
      </c>
      <c r="G9" s="6">
        <f>SUMIFS(jrrekdata_grb[W&amp;V vorig jr.],jrrekdata_grb[Beginbalans],'Tabel jaarrekening hoofdverdich'!$A9)</f>
        <v>0</v>
      </c>
      <c r="H9" s="6">
        <f>SUMIFS(jrrekdata_grb[Budget],jrrekdata_grb[Beginbalans],'Tabel jaarrekening hoofdverdich'!$A9)</f>
        <v>0</v>
      </c>
    </row>
    <row r="10" spans="1:8" x14ac:dyDescent="0.2">
      <c r="A10">
        <v>24</v>
      </c>
      <c r="B10" t="str">
        <f>VLOOKUP($A10,hoofdverdichting[],2,FALSE)</f>
        <v>KORTLOPENDE SCHULDEN</v>
      </c>
      <c r="E10" s="6">
        <f>SUMIFS(jrrekdata_grb[Balans vorig jaar],jrrekdata_grb[Beginbalans],'Tabel jaarrekening hoofdverdich'!$A10)</f>
        <v>0</v>
      </c>
      <c r="F10" s="6">
        <f>SUMIFS(jrrekdata_grb[Saldo W&amp;V],jrrekdata_grb[Beginbalans],'Tabel jaarrekening hoofdverdich'!$A10)</f>
        <v>0</v>
      </c>
      <c r="G10" s="6">
        <f>SUMIFS(jrrekdata_grb[W&amp;V vorig jr.],jrrekdata_grb[Beginbalans],'Tabel jaarrekening hoofdverdich'!$A10)</f>
        <v>0</v>
      </c>
      <c r="H10" s="6">
        <f>SUMIFS(jrrekdata_grb[Budget],jrrekdata_grb[Beginbalans],'Tabel jaarrekening hoofdverdich'!$A10)</f>
        <v>0</v>
      </c>
    </row>
    <row r="11" spans="1:8" x14ac:dyDescent="0.2">
      <c r="A11">
        <v>35</v>
      </c>
      <c r="B11" t="str">
        <f>VLOOKUP($A11,hoofdverdichting[],2,FALSE)</f>
        <v>BATEN</v>
      </c>
      <c r="E11" s="6">
        <f>SUMIFS(jrrekdata_grb[Balans vorig jaar],jrrekdata_grb[Beginbalans],'Tabel jaarrekening hoofdverdich'!$A11)</f>
        <v>0</v>
      </c>
      <c r="F11" s="6">
        <f>SUMIFS(jrrekdata_grb[Saldo W&amp;V],jrrekdata_grb[Beginbalans],'Tabel jaarrekening hoofdverdich'!$A11)</f>
        <v>0</v>
      </c>
      <c r="G11" s="6">
        <f>SUMIFS(jrrekdata_grb[W&amp;V vorig jr.],jrrekdata_grb[Beginbalans],'Tabel jaarrekening hoofdverdich'!$A11)</f>
        <v>0</v>
      </c>
      <c r="H11" s="6">
        <f>SUMIFS(jrrekdata_grb[Budget],jrrekdata_grb[Beginbalans],'Tabel jaarrekening hoofdverdich'!$A11)</f>
        <v>0</v>
      </c>
    </row>
    <row r="12" spans="1:8" x14ac:dyDescent="0.2">
      <c r="A12">
        <v>41</v>
      </c>
      <c r="B12" t="str">
        <f>VLOOKUP($A12,hoofdverdichting[],2,FALSE)</f>
        <v>PERSONEELSLASTEN</v>
      </c>
      <c r="E12" s="6">
        <f>SUMIFS(jrrekdata_grb[Balans vorig jaar],jrrekdata_grb[Beginbalans],'Tabel jaarrekening hoofdverdich'!$A12)</f>
        <v>0</v>
      </c>
      <c r="F12" s="6">
        <f>SUMIFS(jrrekdata_grb[Saldo W&amp;V],jrrekdata_grb[Beginbalans],'Tabel jaarrekening hoofdverdich'!$A12)</f>
        <v>0</v>
      </c>
      <c r="G12" s="6">
        <f>SUMIFS(jrrekdata_grb[W&amp;V vorig jr.],jrrekdata_grb[Beginbalans],'Tabel jaarrekening hoofdverdich'!$A12)</f>
        <v>0</v>
      </c>
      <c r="H12" s="6">
        <f>SUMIFS(jrrekdata_grb[Budget],jrrekdata_grb[Beginbalans],'Tabel jaarrekening hoofdverdich'!$A12)</f>
        <v>0</v>
      </c>
    </row>
    <row r="13" spans="1:8" x14ac:dyDescent="0.2">
      <c r="A13">
        <v>42</v>
      </c>
      <c r="B13" t="str">
        <f>VLOOKUP($A13,hoofdverdichting[],2,FALSE)</f>
        <v>AFSCHRIJVINGEN</v>
      </c>
      <c r="E13" s="6">
        <f>SUMIFS(jrrekdata_grb[Balans vorig jaar],jrrekdata_grb[Beginbalans],'Tabel jaarrekening hoofdverdich'!$A13)</f>
        <v>0</v>
      </c>
      <c r="F13" s="6">
        <f>SUMIFS(jrrekdata_grb[Saldo W&amp;V],jrrekdata_grb[Beginbalans],'Tabel jaarrekening hoofdverdich'!$A13)</f>
        <v>0</v>
      </c>
      <c r="G13" s="6">
        <f>SUMIFS(jrrekdata_grb[W&amp;V vorig jr.],jrrekdata_grb[Beginbalans],'Tabel jaarrekening hoofdverdich'!$A13)</f>
        <v>0</v>
      </c>
      <c r="H13" s="6">
        <f>SUMIFS(jrrekdata_grb[Budget],jrrekdata_grb[Beginbalans],'Tabel jaarrekening hoofdverdich'!$A13)</f>
        <v>0</v>
      </c>
    </row>
    <row r="14" spans="1:8" x14ac:dyDescent="0.2">
      <c r="A14">
        <v>43</v>
      </c>
      <c r="B14" t="str">
        <f>VLOOKUP($A14,hoofdverdichting[],2,FALSE)</f>
        <v>HUISVESTINGSLASTEN</v>
      </c>
      <c r="E14" s="6">
        <f>SUMIFS(jrrekdata_grb[Balans vorig jaar],jrrekdata_grb[Beginbalans],'Tabel jaarrekening hoofdverdich'!$A14)</f>
        <v>0</v>
      </c>
      <c r="F14" s="6">
        <f>SUMIFS(jrrekdata_grb[Saldo W&amp;V],jrrekdata_grb[Beginbalans],'Tabel jaarrekening hoofdverdich'!$A14)</f>
        <v>0</v>
      </c>
      <c r="G14" s="6">
        <f>SUMIFS(jrrekdata_grb[W&amp;V vorig jr.],jrrekdata_grb[Beginbalans],'Tabel jaarrekening hoofdverdich'!$A14)</f>
        <v>0</v>
      </c>
      <c r="H14" s="6">
        <f>SUMIFS(jrrekdata_grb[Budget],jrrekdata_grb[Beginbalans],'Tabel jaarrekening hoofdverdich'!$A14)</f>
        <v>0</v>
      </c>
    </row>
    <row r="15" spans="1:8" x14ac:dyDescent="0.2">
      <c r="A15">
        <v>44</v>
      </c>
      <c r="B15" t="str">
        <f>VLOOKUP($A15,hoofdverdichting[],2,FALSE)</f>
        <v>OVERIGE LASTEN</v>
      </c>
      <c r="E15" s="6">
        <f>SUMIFS(jrrekdata_grb[Balans vorig jaar],jrrekdata_grb[Beginbalans],'Tabel jaarrekening hoofdverdich'!$A15)</f>
        <v>0</v>
      </c>
      <c r="F15" s="6">
        <f>SUMIFS(jrrekdata_grb[Saldo W&amp;V],jrrekdata_grb[Beginbalans],'Tabel jaarrekening hoofdverdich'!$A15)</f>
        <v>0</v>
      </c>
      <c r="G15" s="6">
        <f>SUMIFS(jrrekdata_grb[W&amp;V vorig jr.],jrrekdata_grb[Beginbalans],'Tabel jaarrekening hoofdverdich'!$A15)</f>
        <v>0</v>
      </c>
      <c r="H15" s="6">
        <f>SUMIFS(jrrekdata_grb[Budget],jrrekdata_grb[Beginbalans],'Tabel jaarrekening hoofdverdich'!$A15)</f>
        <v>0</v>
      </c>
    </row>
    <row r="16" spans="1:8" x14ac:dyDescent="0.2">
      <c r="A16">
        <v>45</v>
      </c>
      <c r="B16" t="str">
        <f>VLOOKUP($A16,hoofdverdichting[],2,FALSE)</f>
        <v>AFDRACHTEN AAN LANDELIJK KERKVERBAND</v>
      </c>
      <c r="E16" s="6">
        <f>SUMIFS(jrrekdata_grb[Balans vorig jaar],jrrekdata_grb[Beginbalans],'Tabel jaarrekening hoofdverdich'!$A16)</f>
        <v>0</v>
      </c>
      <c r="F16" s="6">
        <f>SUMIFS(jrrekdata_grb[Saldo W&amp;V],jrrekdata_grb[Beginbalans],'Tabel jaarrekening hoofdverdich'!$A16)</f>
        <v>0</v>
      </c>
      <c r="G16" s="6">
        <f>SUMIFS(jrrekdata_grb[W&amp;V vorig jr.],jrrekdata_grb[Beginbalans],'Tabel jaarrekening hoofdverdich'!$A16)</f>
        <v>0</v>
      </c>
      <c r="H16" s="6">
        <f>SUMIFS(jrrekdata_grb[Budget],jrrekdata_grb[Beginbalans],'Tabel jaarrekening hoofdverdich'!$A16)</f>
        <v>0</v>
      </c>
    </row>
    <row r="17" spans="1:8" x14ac:dyDescent="0.2">
      <c r="A17">
        <v>51</v>
      </c>
      <c r="B17" t="str">
        <f>VLOOKUP($A17,hoofdverdichting[],2,FALSE)</f>
        <v>RENTEBATEN</v>
      </c>
      <c r="E17" s="6">
        <f>SUMIFS(jrrekdata_grb[Balans vorig jaar],jrrekdata_grb[Beginbalans],'Tabel jaarrekening hoofdverdich'!$A17)</f>
        <v>0</v>
      </c>
      <c r="F17" s="6">
        <f>SUMIFS(jrrekdata_grb[Saldo W&amp;V],jrrekdata_grb[Beginbalans],'Tabel jaarrekening hoofdverdich'!$A17)</f>
        <v>0</v>
      </c>
      <c r="G17" s="6">
        <f>SUMIFS(jrrekdata_grb[W&amp;V vorig jr.],jrrekdata_grb[Beginbalans],'Tabel jaarrekening hoofdverdich'!$A17)</f>
        <v>0</v>
      </c>
      <c r="H17" s="6">
        <f>SUMIFS(jrrekdata_grb[Budget],jrrekdata_grb[Beginbalans],'Tabel jaarrekening hoofdverdich'!$A17)</f>
        <v>0</v>
      </c>
    </row>
    <row r="18" spans="1:8" x14ac:dyDescent="0.2">
      <c r="A18">
        <v>55</v>
      </c>
      <c r="B18" t="str">
        <f>VLOOKUP($A18,hoofdverdichting[],2,FALSE)</f>
        <v>RENTELASTEN</v>
      </c>
      <c r="E18" s="6">
        <f>SUMIFS(jrrekdata_grb[Balans vorig jaar],jrrekdata_grb[Beginbalans],'Tabel jaarrekening hoofdverdich'!$A18)</f>
        <v>0</v>
      </c>
      <c r="F18" s="6">
        <f>SUMIFS(jrrekdata_grb[Saldo W&amp;V],jrrekdata_grb[Beginbalans],'Tabel jaarrekening hoofdverdich'!$A18)</f>
        <v>0</v>
      </c>
      <c r="G18" s="6">
        <f>SUMIFS(jrrekdata_grb[W&amp;V vorig jr.],jrrekdata_grb[Beginbalans],'Tabel jaarrekening hoofdverdich'!$A18)</f>
        <v>0</v>
      </c>
      <c r="H18" s="6">
        <f>SUMIFS(jrrekdata_grb[Budget],jrrekdata_grb[Beginbalans],'Tabel jaarrekening hoofdverdich'!$A18)</f>
        <v>0</v>
      </c>
    </row>
    <row r="19" spans="1:8" x14ac:dyDescent="0.2">
      <c r="A19">
        <v>70</v>
      </c>
      <c r="B19" t="str">
        <f>VLOOKUP($A19,hoofdverdichting[],2,FALSE)</f>
        <v>RESULTAAT</v>
      </c>
      <c r="E19" s="6">
        <f>SUMIFS(jrrekdata_grb[Balans vorig jaar],jrrekdata_grb[Beginbalans],'Tabel jaarrekening hoofdverdich'!$A19)</f>
        <v>0</v>
      </c>
      <c r="F19" s="6">
        <f>SUMIFS(jrrekdata_grb[Saldo W&amp;V],jrrekdata_grb[Beginbalans],'Tabel jaarrekening hoofdverdich'!$A19)</f>
        <v>0</v>
      </c>
      <c r="G19" s="6">
        <f>SUMIFS(jrrekdata_grb[W&amp;V vorig jr.],jrrekdata_grb[Beginbalans],'Tabel jaarrekening hoofdverdich'!$A19)</f>
        <v>0</v>
      </c>
      <c r="H19" s="6">
        <f>SUMIFS(jrrekdata_grb[Budget],jrrekdata_grb[Beginbalans],'Tabel jaarrekening hoofdverdich'!$A19)</f>
        <v>0</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2"/>
  <dimension ref="A1:C39"/>
  <sheetViews>
    <sheetView workbookViewId="0">
      <selection activeCell="C13" sqref="C13"/>
    </sheetView>
  </sheetViews>
  <sheetFormatPr defaultRowHeight="12.75" x14ac:dyDescent="0.2"/>
  <cols>
    <col min="1" max="1" width="24.7109375" customWidth="1"/>
    <col min="2" max="2" width="30.140625" customWidth="1"/>
    <col min="3" max="3" width="26.7109375" customWidth="1"/>
  </cols>
  <sheetData>
    <row r="1" spans="1:3" ht="15.75" x14ac:dyDescent="0.25">
      <c r="A1" s="2" t="s">
        <v>36</v>
      </c>
    </row>
    <row r="3" spans="1:3" x14ac:dyDescent="0.2">
      <c r="A3" t="s">
        <v>37</v>
      </c>
      <c r="B3" t="s">
        <v>38</v>
      </c>
      <c r="C3" t="s">
        <v>39</v>
      </c>
    </row>
    <row r="4" spans="1:3" x14ac:dyDescent="0.2">
      <c r="A4">
        <v>121</v>
      </c>
      <c r="B4" t="s">
        <v>40</v>
      </c>
      <c r="C4">
        <v>12</v>
      </c>
    </row>
    <row r="5" spans="1:3" x14ac:dyDescent="0.2">
      <c r="A5">
        <v>122</v>
      </c>
      <c r="B5" t="s">
        <v>41</v>
      </c>
      <c r="C5">
        <v>12</v>
      </c>
    </row>
    <row r="6" spans="1:3" x14ac:dyDescent="0.2">
      <c r="A6">
        <v>151</v>
      </c>
      <c r="B6" t="s">
        <v>9</v>
      </c>
      <c r="C6">
        <v>15</v>
      </c>
    </row>
    <row r="7" spans="1:3" x14ac:dyDescent="0.2">
      <c r="A7">
        <v>157</v>
      </c>
      <c r="B7" t="s">
        <v>42</v>
      </c>
      <c r="C7">
        <v>15</v>
      </c>
    </row>
    <row r="8" spans="1:3" x14ac:dyDescent="0.2">
      <c r="A8">
        <v>158</v>
      </c>
      <c r="B8" t="s">
        <v>43</v>
      </c>
      <c r="C8">
        <v>15</v>
      </c>
    </row>
    <row r="9" spans="1:3" x14ac:dyDescent="0.2">
      <c r="A9">
        <v>172</v>
      </c>
      <c r="B9" t="s">
        <v>44</v>
      </c>
      <c r="C9">
        <v>17</v>
      </c>
    </row>
    <row r="10" spans="1:3" x14ac:dyDescent="0.2">
      <c r="A10">
        <v>211</v>
      </c>
      <c r="B10" t="s">
        <v>45</v>
      </c>
      <c r="C10">
        <v>21</v>
      </c>
    </row>
    <row r="11" spans="1:3" x14ac:dyDescent="0.2">
      <c r="A11">
        <v>213</v>
      </c>
      <c r="B11" t="s">
        <v>46</v>
      </c>
      <c r="C11">
        <v>21</v>
      </c>
    </row>
    <row r="12" spans="1:3" x14ac:dyDescent="0.2">
      <c r="A12">
        <v>223</v>
      </c>
      <c r="B12" t="s">
        <v>47</v>
      </c>
      <c r="C12">
        <v>22</v>
      </c>
    </row>
    <row r="13" spans="1:3" x14ac:dyDescent="0.2">
      <c r="A13">
        <v>235</v>
      </c>
      <c r="B13" t="s">
        <v>48</v>
      </c>
      <c r="C13">
        <v>23</v>
      </c>
    </row>
    <row r="14" spans="1:3" x14ac:dyDescent="0.2">
      <c r="A14">
        <v>241</v>
      </c>
      <c r="B14" t="s">
        <v>49</v>
      </c>
      <c r="C14">
        <v>24</v>
      </c>
    </row>
    <row r="15" spans="1:3" x14ac:dyDescent="0.2">
      <c r="A15">
        <v>243</v>
      </c>
      <c r="B15" t="s">
        <v>12</v>
      </c>
      <c r="C15">
        <v>24</v>
      </c>
    </row>
    <row r="16" spans="1:3" x14ac:dyDescent="0.2">
      <c r="A16">
        <v>247</v>
      </c>
      <c r="B16" t="s">
        <v>50</v>
      </c>
      <c r="C16">
        <v>24</v>
      </c>
    </row>
    <row r="17" spans="1:3" x14ac:dyDescent="0.2">
      <c r="A17">
        <v>248</v>
      </c>
      <c r="B17" t="s">
        <v>51</v>
      </c>
      <c r="C17">
        <v>24</v>
      </c>
    </row>
    <row r="18" spans="1:3" x14ac:dyDescent="0.2">
      <c r="A18">
        <v>351</v>
      </c>
      <c r="B18" t="s">
        <v>33</v>
      </c>
      <c r="C18">
        <v>35</v>
      </c>
    </row>
    <row r="19" spans="1:3" x14ac:dyDescent="0.2">
      <c r="A19">
        <v>352</v>
      </c>
      <c r="B19" t="s">
        <v>52</v>
      </c>
      <c r="C19">
        <v>35</v>
      </c>
    </row>
    <row r="20" spans="1:3" x14ac:dyDescent="0.2">
      <c r="A20">
        <v>353</v>
      </c>
      <c r="B20" t="s">
        <v>648</v>
      </c>
      <c r="C20">
        <v>45</v>
      </c>
    </row>
    <row r="21" spans="1:3" x14ac:dyDescent="0.2">
      <c r="A21">
        <v>356</v>
      </c>
      <c r="B21" t="s">
        <v>53</v>
      </c>
      <c r="C21">
        <v>35</v>
      </c>
    </row>
    <row r="22" spans="1:3" x14ac:dyDescent="0.2">
      <c r="A22">
        <v>411</v>
      </c>
      <c r="B22" t="s">
        <v>54</v>
      </c>
      <c r="C22">
        <v>41</v>
      </c>
    </row>
    <row r="23" spans="1:3" x14ac:dyDescent="0.2">
      <c r="A23">
        <v>412</v>
      </c>
      <c r="B23" t="s">
        <v>55</v>
      </c>
      <c r="C23">
        <v>41</v>
      </c>
    </row>
    <row r="24" spans="1:3" x14ac:dyDescent="0.2">
      <c r="A24">
        <v>422</v>
      </c>
      <c r="B24" t="s">
        <v>56</v>
      </c>
      <c r="C24">
        <v>42</v>
      </c>
    </row>
    <row r="25" spans="1:3" x14ac:dyDescent="0.2">
      <c r="A25">
        <v>431</v>
      </c>
      <c r="B25" t="s">
        <v>57</v>
      </c>
      <c r="C25">
        <v>43</v>
      </c>
    </row>
    <row r="26" spans="1:3" x14ac:dyDescent="0.2">
      <c r="A26">
        <v>433</v>
      </c>
      <c r="B26" t="s">
        <v>58</v>
      </c>
      <c r="C26">
        <v>43</v>
      </c>
    </row>
    <row r="27" spans="1:3" x14ac:dyDescent="0.2">
      <c r="A27">
        <v>434</v>
      </c>
      <c r="B27" t="s">
        <v>59</v>
      </c>
      <c r="C27">
        <v>43</v>
      </c>
    </row>
    <row r="28" spans="1:3" x14ac:dyDescent="0.2">
      <c r="A28">
        <v>435</v>
      </c>
      <c r="B28" t="s">
        <v>60</v>
      </c>
      <c r="C28">
        <v>43</v>
      </c>
    </row>
    <row r="29" spans="1:3" x14ac:dyDescent="0.2">
      <c r="A29">
        <v>436</v>
      </c>
      <c r="B29" t="s">
        <v>26</v>
      </c>
      <c r="C29">
        <v>43</v>
      </c>
    </row>
    <row r="30" spans="1:3" x14ac:dyDescent="0.2">
      <c r="A30">
        <v>437</v>
      </c>
      <c r="B30" t="s">
        <v>27</v>
      </c>
      <c r="C30">
        <v>43</v>
      </c>
    </row>
    <row r="31" spans="1:3" x14ac:dyDescent="0.2">
      <c r="A31">
        <v>438</v>
      </c>
      <c r="B31" t="s">
        <v>61</v>
      </c>
      <c r="C31">
        <v>43</v>
      </c>
    </row>
    <row r="32" spans="1:3" x14ac:dyDescent="0.2">
      <c r="A32">
        <v>441</v>
      </c>
      <c r="B32" t="s">
        <v>62</v>
      </c>
      <c r="C32">
        <v>44</v>
      </c>
    </row>
    <row r="33" spans="1:3" x14ac:dyDescent="0.2">
      <c r="A33">
        <v>442</v>
      </c>
      <c r="B33" t="s">
        <v>41</v>
      </c>
      <c r="C33">
        <v>44</v>
      </c>
    </row>
    <row r="34" spans="1:3" x14ac:dyDescent="0.2">
      <c r="A34">
        <v>444</v>
      </c>
      <c r="B34" t="s">
        <v>63</v>
      </c>
      <c r="C34">
        <v>44</v>
      </c>
    </row>
    <row r="35" spans="1:3" x14ac:dyDescent="0.2">
      <c r="A35">
        <v>445</v>
      </c>
      <c r="B35" t="s">
        <v>64</v>
      </c>
      <c r="C35">
        <v>44</v>
      </c>
    </row>
    <row r="36" spans="1:3" x14ac:dyDescent="0.2">
      <c r="A36">
        <v>450</v>
      </c>
      <c r="B36" t="s">
        <v>647</v>
      </c>
      <c r="C36">
        <v>45</v>
      </c>
    </row>
    <row r="37" spans="1:3" x14ac:dyDescent="0.2">
      <c r="A37">
        <v>510</v>
      </c>
      <c r="B37" t="s">
        <v>65</v>
      </c>
      <c r="C37">
        <v>51</v>
      </c>
    </row>
    <row r="38" spans="1:3" x14ac:dyDescent="0.2">
      <c r="A38">
        <v>550</v>
      </c>
      <c r="B38" t="s">
        <v>66</v>
      </c>
      <c r="C38">
        <v>55</v>
      </c>
    </row>
    <row r="39" spans="1:3" x14ac:dyDescent="0.2">
      <c r="A39">
        <v>700</v>
      </c>
      <c r="B39" t="s">
        <v>35</v>
      </c>
      <c r="C39">
        <v>70</v>
      </c>
    </row>
  </sheetData>
  <sheetProtection sheet="1" objects="1" scenarios="1"/>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3"/>
  <dimension ref="A1:B19"/>
  <sheetViews>
    <sheetView workbookViewId="0">
      <selection activeCell="B16" sqref="B16"/>
    </sheetView>
  </sheetViews>
  <sheetFormatPr defaultRowHeight="12.75" x14ac:dyDescent="0.2"/>
  <cols>
    <col min="1" max="1" width="26.7109375" customWidth="1"/>
    <col min="2" max="2" width="43.140625" customWidth="1"/>
  </cols>
  <sheetData>
    <row r="1" spans="1:2" ht="15.75" x14ac:dyDescent="0.25">
      <c r="A1" s="2" t="s">
        <v>83</v>
      </c>
    </row>
    <row r="3" spans="1:2" x14ac:dyDescent="0.2">
      <c r="A3" t="s">
        <v>39</v>
      </c>
      <c r="B3" t="s">
        <v>67</v>
      </c>
    </row>
    <row r="4" spans="1:2" x14ac:dyDescent="0.2">
      <c r="A4">
        <v>12</v>
      </c>
      <c r="B4" t="s">
        <v>68</v>
      </c>
    </row>
    <row r="5" spans="1:2" x14ac:dyDescent="0.2">
      <c r="A5">
        <v>21</v>
      </c>
      <c r="B5" t="s">
        <v>69</v>
      </c>
    </row>
    <row r="6" spans="1:2" x14ac:dyDescent="0.2">
      <c r="A6">
        <v>22</v>
      </c>
      <c r="B6" t="s">
        <v>70</v>
      </c>
    </row>
    <row r="7" spans="1:2" x14ac:dyDescent="0.2">
      <c r="A7">
        <v>23</v>
      </c>
      <c r="B7" t="s">
        <v>71</v>
      </c>
    </row>
    <row r="8" spans="1:2" x14ac:dyDescent="0.2">
      <c r="A8">
        <v>17</v>
      </c>
      <c r="B8" t="s">
        <v>72</v>
      </c>
    </row>
    <row r="9" spans="1:2" x14ac:dyDescent="0.2">
      <c r="A9">
        <v>15</v>
      </c>
      <c r="B9" t="s">
        <v>73</v>
      </c>
    </row>
    <row r="10" spans="1:2" x14ac:dyDescent="0.2">
      <c r="A10">
        <v>24</v>
      </c>
      <c r="B10" t="s">
        <v>74</v>
      </c>
    </row>
    <row r="11" spans="1:2" x14ac:dyDescent="0.2">
      <c r="A11">
        <v>41</v>
      </c>
      <c r="B11" t="s">
        <v>75</v>
      </c>
    </row>
    <row r="12" spans="1:2" x14ac:dyDescent="0.2">
      <c r="A12">
        <v>42</v>
      </c>
      <c r="B12" t="s">
        <v>76</v>
      </c>
    </row>
    <row r="13" spans="1:2" x14ac:dyDescent="0.2">
      <c r="A13">
        <v>43</v>
      </c>
      <c r="B13" t="s">
        <v>77</v>
      </c>
    </row>
    <row r="14" spans="1:2" x14ac:dyDescent="0.2">
      <c r="A14">
        <v>44</v>
      </c>
      <c r="B14" t="s">
        <v>78</v>
      </c>
    </row>
    <row r="15" spans="1:2" x14ac:dyDescent="0.2">
      <c r="A15">
        <v>45</v>
      </c>
      <c r="B15" t="s">
        <v>649</v>
      </c>
    </row>
    <row r="16" spans="1:2" x14ac:dyDescent="0.2">
      <c r="A16">
        <v>55</v>
      </c>
      <c r="B16" t="s">
        <v>79</v>
      </c>
    </row>
    <row r="17" spans="1:2" x14ac:dyDescent="0.2">
      <c r="A17">
        <v>35</v>
      </c>
      <c r="B17" t="s">
        <v>80</v>
      </c>
    </row>
    <row r="18" spans="1:2" x14ac:dyDescent="0.2">
      <c r="A18">
        <v>51</v>
      </c>
      <c r="B18" t="s">
        <v>81</v>
      </c>
    </row>
    <row r="19" spans="1:2" x14ac:dyDescent="0.2">
      <c r="A19">
        <v>70</v>
      </c>
      <c r="B19" t="s">
        <v>82</v>
      </c>
    </row>
  </sheetData>
  <sheetProtection sheet="1" objects="1" scenarios="1"/>
  <pageMargins left="0.7" right="0.7" top="0.75" bottom="0.75" header="0.3" footer="0.3"/>
  <pageSetup paperSize="9"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C17"/>
  <sheetViews>
    <sheetView workbookViewId="0">
      <selection activeCell="C14" sqref="C14"/>
    </sheetView>
  </sheetViews>
  <sheetFormatPr defaultColWidth="9.140625" defaultRowHeight="12.75" x14ac:dyDescent="0.2"/>
  <cols>
    <col min="1" max="1" width="33.85546875" customWidth="1"/>
    <col min="2" max="2" width="23.85546875" customWidth="1"/>
    <col min="3" max="3" width="18" customWidth="1"/>
  </cols>
  <sheetData>
    <row r="1" spans="1:3" ht="15.75" x14ac:dyDescent="0.25">
      <c r="A1" s="2" t="s">
        <v>0</v>
      </c>
    </row>
    <row r="3" spans="1:3" x14ac:dyDescent="0.2">
      <c r="A3" s="1" t="s">
        <v>1</v>
      </c>
      <c r="B3" s="1" t="s">
        <v>2</v>
      </c>
    </row>
    <row r="4" spans="1:3" x14ac:dyDescent="0.2">
      <c r="A4" t="s">
        <v>3</v>
      </c>
      <c r="B4" s="3">
        <v>2022</v>
      </c>
    </row>
    <row r="5" spans="1:3" x14ac:dyDescent="0.2">
      <c r="A5" t="s">
        <v>1</v>
      </c>
      <c r="B5" s="3" t="s">
        <v>150</v>
      </c>
    </row>
    <row r="6" spans="1:3" x14ac:dyDescent="0.2">
      <c r="A6" t="s">
        <v>131</v>
      </c>
      <c r="B6" s="4" t="s">
        <v>151</v>
      </c>
    </row>
    <row r="7" spans="1:3" x14ac:dyDescent="0.2">
      <c r="A7" t="s">
        <v>4</v>
      </c>
      <c r="B7" s="4" t="s">
        <v>151</v>
      </c>
    </row>
    <row r="8" spans="1:3" x14ac:dyDescent="0.2">
      <c r="A8" t="s">
        <v>143</v>
      </c>
      <c r="B8" s="4" t="s">
        <v>144</v>
      </c>
    </row>
    <row r="10" spans="1:3" ht="15.75" x14ac:dyDescent="0.25">
      <c r="A10" s="2" t="s">
        <v>5</v>
      </c>
    </row>
    <row r="12" spans="1:3" x14ac:dyDescent="0.2">
      <c r="A12" t="s">
        <v>3</v>
      </c>
      <c r="B12" s="5" t="s">
        <v>6</v>
      </c>
      <c r="C12" s="5" t="s">
        <v>7</v>
      </c>
    </row>
    <row r="13" spans="1:3" x14ac:dyDescent="0.2">
      <c r="A13" s="7">
        <v>2016</v>
      </c>
      <c r="B13" s="8">
        <v>6</v>
      </c>
      <c r="C13" s="8">
        <v>5</v>
      </c>
    </row>
    <row r="14" spans="1:3" x14ac:dyDescent="0.2">
      <c r="A14" s="7">
        <v>2015</v>
      </c>
      <c r="B14" s="8"/>
      <c r="C14" s="8">
        <v>7</v>
      </c>
    </row>
    <row r="15" spans="1:3" x14ac:dyDescent="0.2">
      <c r="A15" s="7"/>
      <c r="B15" s="8"/>
      <c r="C15" s="8"/>
    </row>
    <row r="16" spans="1:3" x14ac:dyDescent="0.2">
      <c r="A16" s="7"/>
      <c r="B16" s="8"/>
      <c r="C16" s="8"/>
    </row>
    <row r="17" spans="1:3" x14ac:dyDescent="0.2">
      <c r="A17" s="7"/>
      <c r="B17" s="8"/>
      <c r="C17" s="8"/>
    </row>
  </sheetData>
  <dataValidations count="1">
    <dataValidation type="list" allowBlank="1" showInputMessage="1" showErrorMessage="1" sqref="B8" xr:uid="{00000000-0002-0000-0000-000000000000}">
      <formula1>"volledig,hoofdlijnen"</formula1>
    </dataValidation>
  </dataValidations>
  <pageMargins left="0.7" right="0.7" top="0.75" bottom="0.75" header="0.3" footer="0.3"/>
  <pageSetup paperSize="9"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3:L67"/>
  <sheetViews>
    <sheetView workbookViewId="0">
      <selection activeCell="D6" sqref="D6"/>
    </sheetView>
  </sheetViews>
  <sheetFormatPr defaultRowHeight="12.75" x14ac:dyDescent="0.2"/>
  <sheetData>
    <row r="3" spans="1:1" ht="18" x14ac:dyDescent="0.25">
      <c r="A3" s="9" t="s">
        <v>646</v>
      </c>
    </row>
    <row r="36" spans="1:12" ht="30" x14ac:dyDescent="0.4">
      <c r="A36" s="64" t="str">
        <f>omschrijving&amp;" "&amp;verslagjaar</f>
        <v>Concept jaarverslag en jaarrekening 2022</v>
      </c>
      <c r="B36" s="64"/>
      <c r="C36" s="64"/>
      <c r="D36" s="64"/>
      <c r="E36" s="64"/>
      <c r="F36" s="64"/>
      <c r="G36" s="64"/>
      <c r="H36" s="64"/>
      <c r="I36" s="64"/>
      <c r="J36" s="64"/>
      <c r="K36" s="64"/>
      <c r="L36" s="64"/>
    </row>
    <row r="40" spans="1:12" ht="26.25" x14ac:dyDescent="0.4">
      <c r="A40" s="65" t="s">
        <v>124</v>
      </c>
      <c r="B40" s="65"/>
      <c r="C40" s="65"/>
      <c r="D40" s="65"/>
      <c r="E40" s="65"/>
      <c r="F40" s="65"/>
      <c r="G40" s="65"/>
      <c r="H40" s="65"/>
      <c r="I40" s="65"/>
      <c r="J40" s="65"/>
      <c r="K40" s="65"/>
      <c r="L40" s="65"/>
    </row>
    <row r="42" spans="1:12" ht="26.25" x14ac:dyDescent="0.4">
      <c r="A42" s="65" t="s">
        <v>125</v>
      </c>
      <c r="B42" s="65"/>
      <c r="C42" s="65"/>
      <c r="D42" s="65"/>
      <c r="E42" s="65"/>
      <c r="F42" s="65"/>
      <c r="G42" s="65"/>
      <c r="H42" s="65"/>
      <c r="I42" s="65"/>
      <c r="J42" s="65"/>
      <c r="K42" s="65"/>
      <c r="L42" s="65"/>
    </row>
    <row r="44" spans="1:12" ht="26.25" x14ac:dyDescent="0.4">
      <c r="A44" s="65" t="s">
        <v>126</v>
      </c>
      <c r="B44" s="65"/>
      <c r="C44" s="65"/>
      <c r="D44" s="65"/>
      <c r="E44" s="65"/>
      <c r="F44" s="65"/>
      <c r="G44" s="65"/>
      <c r="H44" s="65"/>
      <c r="I44" s="65"/>
      <c r="J44" s="65"/>
      <c r="K44" s="65"/>
      <c r="L44" s="65"/>
    </row>
    <row r="65" spans="1:1" x14ac:dyDescent="0.2">
      <c r="A65" t="str">
        <f>IF(ISBLANK('Algemene gegevens'!B6),"","Vastgesteld in de oudstenraad vergadering van "&amp;TEXT('Algemene gegevens'!B6,"dd-mm-jjjj"))</f>
        <v>Vastgesteld in de oudstenraad vergadering van xx-xx-2023</v>
      </c>
    </row>
    <row r="67" spans="1:1" x14ac:dyDescent="0.2">
      <c r="A67" t="str">
        <f>"Versie "&amp;TEXT(datumjr,"dd-mm-jjjj")</f>
        <v>Versie xx-xx-2023</v>
      </c>
    </row>
  </sheetData>
  <mergeCells count="4">
    <mergeCell ref="A36:L36"/>
    <mergeCell ref="A40:L40"/>
    <mergeCell ref="A42:L42"/>
    <mergeCell ref="A44:L44"/>
  </mergeCells>
  <printOptions horizontalCentered="1"/>
  <pageMargins left="0.70866141732283472" right="0.70866141732283472" top="0.74803149606299213" bottom="0.74803149606299213" header="0.31496062992125984" footer="0.31496062992125984"/>
  <pageSetup paperSize="9" scale="8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rgb="FF92D050"/>
  </sheetPr>
  <dimension ref="A1:I20"/>
  <sheetViews>
    <sheetView tabSelected="1" zoomScale="85" zoomScaleNormal="85" workbookViewId="0">
      <selection activeCell="D21" sqref="D21"/>
    </sheetView>
  </sheetViews>
  <sheetFormatPr defaultRowHeight="12.75" outlineLevelRow="1" x14ac:dyDescent="0.2"/>
  <sheetData>
    <row r="1" spans="1:9" ht="18" x14ac:dyDescent="0.25">
      <c r="A1" s="9" t="s">
        <v>110</v>
      </c>
    </row>
    <row r="4" spans="1:9" x14ac:dyDescent="0.2">
      <c r="A4" t="s">
        <v>152</v>
      </c>
      <c r="I4">
        <v>3</v>
      </c>
    </row>
    <row r="6" spans="1:9" x14ac:dyDescent="0.2">
      <c r="A6" t="str">
        <f>Waarderingsgrondslagen!A1</f>
        <v>Grondslagen bij de jaarrekening</v>
      </c>
      <c r="I6">
        <f>I4+1</f>
        <v>4</v>
      </c>
    </row>
    <row r="8" spans="1:9" x14ac:dyDescent="0.2">
      <c r="A8" t="str">
        <f>Balans!A1</f>
        <v>Balans per 31-12-2022 met vergelijkende cijfers 31-12-2021</v>
      </c>
      <c r="I8">
        <f>I6+2</f>
        <v>6</v>
      </c>
    </row>
    <row r="10" spans="1:9" x14ac:dyDescent="0.2">
      <c r="A10" t="str">
        <f>'Staat van baten en lasten'!A1</f>
        <v>Staat van baten en lasten over 2022, begroting 2022 en exploitatie 2021</v>
      </c>
      <c r="I10">
        <f>I8+1</f>
        <v>7</v>
      </c>
    </row>
    <row r="12" spans="1:9" outlineLevel="1" x14ac:dyDescent="0.2">
      <c r="A12" t="str">
        <f>Kasstroomoverzicht!A1</f>
        <v>Kasstroomoverzicht over 2022</v>
      </c>
      <c r="I12">
        <f>I10+1</f>
        <v>8</v>
      </c>
    </row>
    <row r="13" spans="1:9" outlineLevel="1" x14ac:dyDescent="0.2"/>
    <row r="14" spans="1:9" outlineLevel="1" x14ac:dyDescent="0.2">
      <c r="A14" t="str">
        <f>'Toelichting balans'!A1</f>
        <v>Toelichting op de balans per 31 december 2022</v>
      </c>
      <c r="I14">
        <f>I12+1</f>
        <v>9</v>
      </c>
    </row>
    <row r="15" spans="1:9" outlineLevel="1" x14ac:dyDescent="0.2"/>
    <row r="16" spans="1:9" x14ac:dyDescent="0.2">
      <c r="A16" t="str">
        <f>'Toelichting baten-lasten'!A1:I1</f>
        <v>Toelichting op de staat van baten en lasten over 2022, begroting 2022 en exploitatie 2021</v>
      </c>
      <c r="I16">
        <f>I14+3</f>
        <v>12</v>
      </c>
    </row>
    <row r="18" spans="1:9" x14ac:dyDescent="0.2">
      <c r="A18" t="str">
        <f>'Kengetallen bij de jaarrekening'!A1</f>
        <v>Kengetallen bij de jaarrekening</v>
      </c>
      <c r="I18">
        <f>I16+2</f>
        <v>14</v>
      </c>
    </row>
    <row r="20" spans="1:9" x14ac:dyDescent="0.2">
      <c r="A20" t="str">
        <f>'Verslag kascontrolecommissie'!A1</f>
        <v>Verslag controlecommissie</v>
      </c>
      <c r="I20">
        <f>I18+1</f>
        <v>15</v>
      </c>
    </row>
  </sheetData>
  <pageMargins left="0.70866141732283472" right="0.70866141732283472" top="0.74803149606299213" bottom="0.74803149606299213" header="0.31496062992125984" footer="0.31496062992125984"/>
  <pageSetup paperSize="9" orientation="portrait" r:id="rId1"/>
  <headerFooter>
    <oddHeader>&amp;R&amp;G</oddHeader>
    <oddFooter>&amp;L&amp;9Concept jaarrekening 2021&amp;C&amp;9Versie: 23-2-2022&amp;R&amp;9- &amp;P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B418F-4086-4348-84E2-B1E23A208108}">
  <sheetPr>
    <tabColor rgb="FF92D050"/>
  </sheetPr>
  <dimension ref="A1:A39"/>
  <sheetViews>
    <sheetView topLeftCell="A19" workbookViewId="0">
      <selection activeCell="A3" sqref="A3"/>
    </sheetView>
  </sheetViews>
  <sheetFormatPr defaultRowHeight="12.75" x14ac:dyDescent="0.2"/>
  <sheetData>
    <row r="1" spans="1:1" x14ac:dyDescent="0.2">
      <c r="A1" s="1" t="s">
        <v>153</v>
      </c>
    </row>
    <row r="3" spans="1:1" x14ac:dyDescent="0.2">
      <c r="A3" t="s">
        <v>154</v>
      </c>
    </row>
    <row r="4" spans="1:1" x14ac:dyDescent="0.2">
      <c r="A4" t="s">
        <v>155</v>
      </c>
    </row>
    <row r="5" spans="1:1" x14ac:dyDescent="0.2">
      <c r="A5" t="s">
        <v>156</v>
      </c>
    </row>
    <row r="6" spans="1:1" x14ac:dyDescent="0.2">
      <c r="A6" t="s">
        <v>157</v>
      </c>
    </row>
    <row r="7" spans="1:1" x14ac:dyDescent="0.2">
      <c r="A7" t="s">
        <v>158</v>
      </c>
    </row>
    <row r="9" spans="1:1" x14ac:dyDescent="0.2">
      <c r="A9" t="s">
        <v>159</v>
      </c>
    </row>
    <row r="10" spans="1:1" x14ac:dyDescent="0.2">
      <c r="A10" t="s">
        <v>160</v>
      </c>
    </row>
    <row r="12" spans="1:1" x14ac:dyDescent="0.2">
      <c r="A12" t="s">
        <v>161</v>
      </c>
    </row>
    <row r="13" spans="1:1" x14ac:dyDescent="0.2">
      <c r="A13" t="s">
        <v>162</v>
      </c>
    </row>
    <row r="14" spans="1:1" x14ac:dyDescent="0.2">
      <c r="A14" t="s">
        <v>163</v>
      </c>
    </row>
    <row r="15" spans="1:1" x14ac:dyDescent="0.2">
      <c r="A15" t="s">
        <v>164</v>
      </c>
    </row>
    <row r="16" spans="1:1" x14ac:dyDescent="0.2">
      <c r="A16" t="s">
        <v>165</v>
      </c>
    </row>
    <row r="18" spans="1:1" x14ac:dyDescent="0.2">
      <c r="A18" t="s">
        <v>166</v>
      </c>
    </row>
    <row r="19" spans="1:1" x14ac:dyDescent="0.2">
      <c r="A19" t="s">
        <v>167</v>
      </c>
    </row>
    <row r="21" spans="1:1" x14ac:dyDescent="0.2">
      <c r="A21" t="s">
        <v>168</v>
      </c>
    </row>
    <row r="22" spans="1:1" x14ac:dyDescent="0.2">
      <c r="A22" t="s">
        <v>169</v>
      </c>
    </row>
    <row r="23" spans="1:1" x14ac:dyDescent="0.2">
      <c r="A23" t="s">
        <v>170</v>
      </c>
    </row>
    <row r="25" spans="1:1" x14ac:dyDescent="0.2">
      <c r="A25" t="s">
        <v>171</v>
      </c>
    </row>
    <row r="26" spans="1:1" x14ac:dyDescent="0.2">
      <c r="A26" t="s">
        <v>172</v>
      </c>
    </row>
    <row r="27" spans="1:1" x14ac:dyDescent="0.2">
      <c r="A27" t="s">
        <v>173</v>
      </c>
    </row>
    <row r="28" spans="1:1" x14ac:dyDescent="0.2">
      <c r="A28" t="s">
        <v>174</v>
      </c>
    </row>
    <row r="29" spans="1:1" x14ac:dyDescent="0.2">
      <c r="A29" t="s">
        <v>175</v>
      </c>
    </row>
    <row r="30" spans="1:1" x14ac:dyDescent="0.2">
      <c r="A30" t="s">
        <v>176</v>
      </c>
    </row>
    <row r="32" spans="1:1" x14ac:dyDescent="0.2">
      <c r="A32" t="s">
        <v>177</v>
      </c>
    </row>
    <row r="34" spans="1:1" x14ac:dyDescent="0.2">
      <c r="A34" t="s">
        <v>178</v>
      </c>
    </row>
    <row r="35" spans="1:1" x14ac:dyDescent="0.2">
      <c r="A35" t="s">
        <v>179</v>
      </c>
    </row>
    <row r="37" spans="1:1" x14ac:dyDescent="0.2">
      <c r="A37" t="s">
        <v>180</v>
      </c>
    </row>
    <row r="38" spans="1:1" x14ac:dyDescent="0.2">
      <c r="A38" t="s">
        <v>181</v>
      </c>
    </row>
    <row r="39" spans="1:1" x14ac:dyDescent="0.2">
      <c r="A39"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4">
    <tabColor rgb="FF92D050"/>
  </sheetPr>
  <dimension ref="A1:C52"/>
  <sheetViews>
    <sheetView topLeftCell="A21" zoomScale="90" zoomScaleNormal="90" workbookViewId="0">
      <selection activeCell="A3" sqref="A3:C52"/>
    </sheetView>
  </sheetViews>
  <sheetFormatPr defaultRowHeight="12.75" x14ac:dyDescent="0.2"/>
  <sheetData>
    <row r="1" spans="1:3" ht="18" x14ac:dyDescent="0.25">
      <c r="A1" s="9" t="s">
        <v>111</v>
      </c>
    </row>
    <row r="3" spans="1:3" ht="17.25" x14ac:dyDescent="0.3">
      <c r="A3" s="60" t="s">
        <v>691</v>
      </c>
      <c r="B3" s="61"/>
      <c r="C3" s="61"/>
    </row>
    <row r="4" spans="1:3" ht="17.25" x14ac:dyDescent="0.3">
      <c r="A4" s="61" t="s">
        <v>692</v>
      </c>
      <c r="B4" s="61"/>
      <c r="C4" s="61"/>
    </row>
    <row r="5" spans="1:3" ht="17.25" x14ac:dyDescent="0.3">
      <c r="A5" s="61" t="s">
        <v>693</v>
      </c>
      <c r="B5" s="61"/>
      <c r="C5" s="61"/>
    </row>
    <row r="6" spans="1:3" ht="17.25" x14ac:dyDescent="0.3">
      <c r="A6" s="61" t="s">
        <v>694</v>
      </c>
      <c r="B6" s="61"/>
      <c r="C6" s="61"/>
    </row>
    <row r="7" spans="1:3" ht="17.25" x14ac:dyDescent="0.3">
      <c r="A7" s="61" t="s">
        <v>695</v>
      </c>
      <c r="B7" s="61"/>
      <c r="C7" s="61"/>
    </row>
    <row r="8" spans="1:3" ht="17.25" x14ac:dyDescent="0.3">
      <c r="A8" s="61"/>
      <c r="B8" s="61"/>
      <c r="C8" s="61"/>
    </row>
    <row r="9" spans="1:3" ht="17.25" x14ac:dyDescent="0.3">
      <c r="A9" s="60" t="s">
        <v>84</v>
      </c>
      <c r="B9" s="61"/>
      <c r="C9" s="61"/>
    </row>
    <row r="10" spans="1:3" ht="17.25" x14ac:dyDescent="0.3">
      <c r="A10" s="61" t="s">
        <v>696</v>
      </c>
      <c r="B10" s="61"/>
      <c r="C10" s="61"/>
    </row>
    <row r="11" spans="1:3" ht="17.25" x14ac:dyDescent="0.3">
      <c r="A11" s="61" t="s">
        <v>697</v>
      </c>
      <c r="B11" s="61"/>
      <c r="C11" s="61"/>
    </row>
    <row r="12" spans="1:3" ht="17.25" x14ac:dyDescent="0.3">
      <c r="A12" s="61" t="s">
        <v>698</v>
      </c>
      <c r="B12" s="61"/>
      <c r="C12" s="61"/>
    </row>
    <row r="13" spans="1:3" ht="17.25" x14ac:dyDescent="0.3">
      <c r="A13" s="61" t="s">
        <v>699</v>
      </c>
      <c r="B13" s="61"/>
      <c r="C13" s="61"/>
    </row>
    <row r="14" spans="1:3" ht="17.25" x14ac:dyDescent="0.3">
      <c r="A14" s="61" t="s">
        <v>700</v>
      </c>
      <c r="B14" s="61"/>
      <c r="C14" s="61"/>
    </row>
    <row r="15" spans="1:3" ht="17.25" x14ac:dyDescent="0.3">
      <c r="A15" s="61" t="s">
        <v>701</v>
      </c>
      <c r="B15" s="61"/>
      <c r="C15" s="61"/>
    </row>
    <row r="16" spans="1:3" ht="17.25" x14ac:dyDescent="0.3">
      <c r="A16" s="61" t="s">
        <v>702</v>
      </c>
      <c r="B16" s="61"/>
      <c r="C16" s="61"/>
    </row>
    <row r="17" spans="1:3" ht="17.25" x14ac:dyDescent="0.3">
      <c r="A17" s="61" t="s">
        <v>703</v>
      </c>
      <c r="B17" s="61"/>
      <c r="C17" s="61"/>
    </row>
    <row r="18" spans="1:3" ht="17.25" x14ac:dyDescent="0.3">
      <c r="A18" s="61" t="s">
        <v>704</v>
      </c>
      <c r="B18" s="61"/>
      <c r="C18" s="61"/>
    </row>
    <row r="19" spans="1:3" ht="17.25" x14ac:dyDescent="0.2">
      <c r="A19" s="62"/>
      <c r="B19" s="62"/>
      <c r="C19" s="62"/>
    </row>
    <row r="20" spans="1:3" ht="17.25" x14ac:dyDescent="0.3">
      <c r="A20" s="60" t="s">
        <v>705</v>
      </c>
      <c r="B20" s="61"/>
      <c r="C20" s="61"/>
    </row>
    <row r="21" spans="1:3" ht="17.25" x14ac:dyDescent="0.3">
      <c r="A21" s="61" t="s">
        <v>706</v>
      </c>
      <c r="B21" s="61"/>
      <c r="C21" s="61"/>
    </row>
    <row r="22" spans="1:3" ht="17.25" x14ac:dyDescent="0.3">
      <c r="A22" s="61" t="s">
        <v>707</v>
      </c>
      <c r="B22" s="61"/>
      <c r="C22" s="61"/>
    </row>
    <row r="23" spans="1:3" ht="17.25" x14ac:dyDescent="0.3">
      <c r="A23" s="61" t="s">
        <v>708</v>
      </c>
      <c r="B23" s="61"/>
      <c r="C23" s="61"/>
    </row>
    <row r="24" spans="1:3" ht="17.25" x14ac:dyDescent="0.3">
      <c r="A24" s="61"/>
      <c r="B24" s="61"/>
      <c r="C24" s="61"/>
    </row>
    <row r="25" spans="1:3" ht="17.25" x14ac:dyDescent="0.3">
      <c r="A25" s="60" t="s">
        <v>621</v>
      </c>
      <c r="B25" s="61"/>
      <c r="C25" s="61"/>
    </row>
    <row r="26" spans="1:3" ht="17.25" x14ac:dyDescent="0.3">
      <c r="A26" s="61" t="s">
        <v>709</v>
      </c>
      <c r="B26" s="61"/>
      <c r="C26" s="61"/>
    </row>
    <row r="27" spans="1:3" ht="17.25" x14ac:dyDescent="0.3">
      <c r="A27" s="61" t="s">
        <v>710</v>
      </c>
      <c r="B27" s="61"/>
      <c r="C27" s="61"/>
    </row>
    <row r="28" spans="1:3" ht="17.25" x14ac:dyDescent="0.3">
      <c r="A28" s="61"/>
      <c r="B28" s="61"/>
      <c r="C28" s="61"/>
    </row>
    <row r="29" spans="1:3" ht="17.25" x14ac:dyDescent="0.3">
      <c r="A29" s="60" t="s">
        <v>711</v>
      </c>
      <c r="B29" s="61"/>
      <c r="C29" s="61"/>
    </row>
    <row r="30" spans="1:3" ht="17.25" x14ac:dyDescent="0.3">
      <c r="A30" s="61" t="s">
        <v>712</v>
      </c>
      <c r="B30" s="61"/>
      <c r="C30" s="61"/>
    </row>
    <row r="31" spans="1:3" ht="17.25" x14ac:dyDescent="0.3">
      <c r="A31" s="61"/>
      <c r="B31" s="61"/>
      <c r="C31" s="61"/>
    </row>
    <row r="32" spans="1:3" ht="17.25" x14ac:dyDescent="0.3">
      <c r="A32" s="60" t="s">
        <v>713</v>
      </c>
      <c r="B32" s="61"/>
      <c r="C32" s="61"/>
    </row>
    <row r="33" spans="1:3" ht="17.25" x14ac:dyDescent="0.3">
      <c r="A33" s="61" t="s">
        <v>714</v>
      </c>
      <c r="B33" s="61"/>
      <c r="C33" s="61"/>
    </row>
    <row r="34" spans="1:3" ht="17.25" x14ac:dyDescent="0.3">
      <c r="A34" s="61" t="s">
        <v>715</v>
      </c>
      <c r="B34" s="61"/>
      <c r="C34" s="61"/>
    </row>
    <row r="35" spans="1:3" ht="17.25" x14ac:dyDescent="0.3">
      <c r="A35" s="61" t="s">
        <v>716</v>
      </c>
      <c r="B35" s="61"/>
      <c r="C35" s="61"/>
    </row>
    <row r="36" spans="1:3" ht="17.25" x14ac:dyDescent="0.3">
      <c r="A36" s="61" t="s">
        <v>717</v>
      </c>
      <c r="B36" s="61"/>
      <c r="C36" s="61"/>
    </row>
    <row r="37" spans="1:3" ht="17.25" x14ac:dyDescent="0.3">
      <c r="A37" s="61"/>
      <c r="B37" s="61"/>
      <c r="C37" s="61"/>
    </row>
    <row r="38" spans="1:3" ht="17.25" x14ac:dyDescent="0.3">
      <c r="A38" s="61"/>
      <c r="B38" s="61"/>
      <c r="C38" s="61"/>
    </row>
    <row r="39" spans="1:3" ht="18.75" x14ac:dyDescent="0.3">
      <c r="A39" s="63" t="s">
        <v>718</v>
      </c>
      <c r="B39" s="61"/>
      <c r="C39" s="61"/>
    </row>
    <row r="40" spans="1:3" ht="17.25" x14ac:dyDescent="0.3">
      <c r="A40" s="61"/>
      <c r="B40" s="61"/>
      <c r="C40" s="61"/>
    </row>
    <row r="41" spans="1:3" ht="17.25" x14ac:dyDescent="0.3">
      <c r="A41" s="60" t="s">
        <v>691</v>
      </c>
      <c r="B41" s="61"/>
      <c r="C41" s="61"/>
    </row>
    <row r="42" spans="1:3" ht="17.25" x14ac:dyDescent="0.3">
      <c r="A42" s="61" t="s">
        <v>719</v>
      </c>
      <c r="B42" s="61"/>
      <c r="C42" s="61"/>
    </row>
    <row r="43" spans="1:3" ht="17.25" x14ac:dyDescent="0.3">
      <c r="A43" s="61" t="s">
        <v>720</v>
      </c>
      <c r="B43" s="61"/>
      <c r="C43" s="61"/>
    </row>
    <row r="44" spans="1:3" ht="17.25" x14ac:dyDescent="0.3">
      <c r="A44" s="61"/>
      <c r="B44" s="61"/>
      <c r="C44" s="61"/>
    </row>
    <row r="45" spans="1:3" ht="17.25" x14ac:dyDescent="0.3">
      <c r="A45" s="60" t="s">
        <v>721</v>
      </c>
      <c r="B45" s="61"/>
      <c r="C45" s="61"/>
    </row>
    <row r="46" spans="1:3" ht="17.25" x14ac:dyDescent="0.3">
      <c r="A46" s="61" t="s">
        <v>722</v>
      </c>
      <c r="B46" s="61"/>
      <c r="C46" s="61"/>
    </row>
    <row r="47" spans="1:3" ht="17.25" x14ac:dyDescent="0.3">
      <c r="A47" s="61" t="s">
        <v>723</v>
      </c>
      <c r="B47" s="61"/>
      <c r="C47" s="61"/>
    </row>
    <row r="48" spans="1:3" ht="17.25" x14ac:dyDescent="0.3">
      <c r="A48" s="61" t="s">
        <v>724</v>
      </c>
      <c r="B48" s="61"/>
      <c r="C48" s="61"/>
    </row>
    <row r="49" spans="1:3" ht="17.25" x14ac:dyDescent="0.3">
      <c r="A49" s="61"/>
      <c r="B49" s="61"/>
      <c r="C49" s="61"/>
    </row>
    <row r="50" spans="1:3" ht="17.25" x14ac:dyDescent="0.3">
      <c r="A50" s="60" t="s">
        <v>725</v>
      </c>
      <c r="B50" s="61"/>
      <c r="C50" s="61"/>
    </row>
    <row r="51" spans="1:3" ht="17.25" x14ac:dyDescent="0.3">
      <c r="A51" s="61" t="s">
        <v>726</v>
      </c>
      <c r="B51" s="61"/>
      <c r="C51" s="61"/>
    </row>
    <row r="52" spans="1:3" ht="17.25" x14ac:dyDescent="0.3">
      <c r="A52" s="61" t="s">
        <v>727</v>
      </c>
      <c r="B52" s="61"/>
      <c r="C52" s="61"/>
    </row>
  </sheetData>
  <pageMargins left="0.70866141732283472" right="0.70866141732283472" top="0.74803149606299213" bottom="0.74803149606299213" header="0.31496062992125984" footer="0.31496062992125984"/>
  <pageSetup paperSize="9" orientation="portrait" r:id="rId1"/>
  <headerFooter>
    <oddHeader>&amp;R&amp;G</oddHeader>
    <oddFooter>&amp;L&amp;9Concept jaarrekening 2021&amp;C&amp;9Versie: 23-2-2022&amp;R&amp;9- &amp;P -</oddFooter>
  </headerFooter>
  <rowBreaks count="1" manualBreakCount="1">
    <brk id="55" max="16383" man="1"/>
  </rowBreaks>
  <colBreaks count="1" manualBreakCount="1">
    <brk id="9"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tabColor rgb="FF92D050"/>
  </sheetPr>
  <dimension ref="A1:G63"/>
  <sheetViews>
    <sheetView topLeftCell="A33" workbookViewId="0">
      <selection activeCell="A47" sqref="A47"/>
    </sheetView>
  </sheetViews>
  <sheetFormatPr defaultRowHeight="12.75" outlineLevelRow="1" outlineLevelCol="1" x14ac:dyDescent="0.2"/>
  <cols>
    <col min="1" max="1" width="41.42578125" bestFit="1" customWidth="1"/>
    <col min="2" max="2" width="15.7109375" hidden="1" customWidth="1" outlineLevel="1"/>
    <col min="3" max="3" width="10.140625" bestFit="1" customWidth="1" collapsed="1"/>
    <col min="4" max="4" width="9.140625" customWidth="1"/>
    <col min="5" max="5" width="2.7109375" customWidth="1"/>
    <col min="6" max="6" width="10.140625" bestFit="1" customWidth="1"/>
    <col min="7" max="7" width="10.140625" customWidth="1"/>
  </cols>
  <sheetData>
    <row r="1" spans="1:7" ht="18" x14ac:dyDescent="0.25">
      <c r="A1" s="9" t="str">
        <f>"Balans per 31-12-"&amp;verslagjaar&amp;" met vergelijkende cijfers 31-12-"&amp;verslagjaar-1</f>
        <v>Balans per 31-12-2022 met vergelijkende cijfers 31-12-2021</v>
      </c>
      <c r="B1" s="9"/>
    </row>
    <row r="2" spans="1:7" x14ac:dyDescent="0.2">
      <c r="A2" t="s">
        <v>184</v>
      </c>
    </row>
    <row r="4" spans="1:7" x14ac:dyDescent="0.2">
      <c r="B4" s="1" t="s">
        <v>93</v>
      </c>
      <c r="C4" s="14">
        <f>DATE(verslagjaar,12,31)</f>
        <v>44926</v>
      </c>
      <c r="D4" s="1"/>
      <c r="E4" s="1"/>
      <c r="F4" s="14">
        <f>DATE(verslagjaar-1,12,31)</f>
        <v>44561</v>
      </c>
    </row>
    <row r="5" spans="1:7" ht="15.75" x14ac:dyDescent="0.25">
      <c r="A5" s="2" t="s">
        <v>189</v>
      </c>
      <c r="B5" s="2"/>
    </row>
    <row r="7" spans="1:7" x14ac:dyDescent="0.2">
      <c r="A7" s="1" t="s">
        <v>84</v>
      </c>
    </row>
    <row r="8" spans="1:7" x14ac:dyDescent="0.2">
      <c r="A8" t="s">
        <v>185</v>
      </c>
      <c r="B8" t="s">
        <v>218</v>
      </c>
      <c r="C8" s="11">
        <f>'Toelichting balans'!G10</f>
        <v>0</v>
      </c>
      <c r="D8" s="11"/>
      <c r="E8" s="11"/>
      <c r="F8" s="11">
        <f>'Toelichting balans'!C10</f>
        <v>0</v>
      </c>
    </row>
    <row r="9" spans="1:7" x14ac:dyDescent="0.2">
      <c r="A9" t="s">
        <v>41</v>
      </c>
      <c r="B9" t="s">
        <v>231</v>
      </c>
      <c r="C9" s="11">
        <f>'Toelichting balans'!G23</f>
        <v>0</v>
      </c>
      <c r="D9" s="11"/>
      <c r="E9" s="11"/>
      <c r="F9" s="11">
        <f>'Toelichting balans'!C23</f>
        <v>0</v>
      </c>
    </row>
    <row r="10" spans="1:7" x14ac:dyDescent="0.2">
      <c r="C10" s="11"/>
      <c r="D10" s="11"/>
      <c r="E10" s="11"/>
      <c r="F10" s="11"/>
    </row>
    <row r="11" spans="1:7" x14ac:dyDescent="0.2">
      <c r="A11" s="10"/>
      <c r="C11" s="19"/>
      <c r="D11" s="11">
        <f>SUBTOTAL(9,C8:C9)</f>
        <v>0</v>
      </c>
      <c r="E11" s="11"/>
      <c r="F11" s="19"/>
      <c r="G11" s="25">
        <f>SUBTOTAL(9,F8:F9)</f>
        <v>0</v>
      </c>
    </row>
    <row r="12" spans="1:7" x14ac:dyDescent="0.2">
      <c r="C12" s="11"/>
      <c r="D12" s="11"/>
      <c r="E12" s="11"/>
      <c r="F12" s="11"/>
    </row>
    <row r="13" spans="1:7" outlineLevel="1" x14ac:dyDescent="0.2">
      <c r="A13" s="1" t="s">
        <v>186</v>
      </c>
      <c r="C13" s="11"/>
      <c r="D13" s="11"/>
      <c r="E13" s="11"/>
      <c r="F13" s="11"/>
    </row>
    <row r="14" spans="1:7" outlineLevel="1" x14ac:dyDescent="0.2">
      <c r="C14" s="11"/>
      <c r="D14" s="11"/>
      <c r="E14" s="11"/>
      <c r="F14" s="11"/>
    </row>
    <row r="15" spans="1:7" x14ac:dyDescent="0.2">
      <c r="A15" s="1" t="s">
        <v>109</v>
      </c>
      <c r="B15" s="1"/>
      <c r="C15" s="11"/>
      <c r="D15" s="11"/>
      <c r="E15" s="11"/>
      <c r="F15" s="11"/>
    </row>
    <row r="16" spans="1:7" outlineLevel="1" x14ac:dyDescent="0.2">
      <c r="A16" t="s">
        <v>187</v>
      </c>
      <c r="B16" s="1"/>
      <c r="C16" s="11"/>
      <c r="D16" s="11"/>
      <c r="E16" s="11"/>
      <c r="F16" s="11"/>
    </row>
    <row r="17" spans="1:7" x14ac:dyDescent="0.2">
      <c r="A17" t="s">
        <v>462</v>
      </c>
      <c r="B17" s="27" t="s">
        <v>242</v>
      </c>
      <c r="C17" s="11">
        <f>'Toelichting balans'!D42</f>
        <v>0</v>
      </c>
      <c r="D17" s="11"/>
      <c r="E17" s="11"/>
      <c r="F17" s="11">
        <f>SUMIFS(jrrekdata_grb[Balans vorig jaar],jrrekdata_grb[Nr.],$B17)</f>
        <v>0</v>
      </c>
    </row>
    <row r="18" spans="1:7" x14ac:dyDescent="0.2">
      <c r="A18" t="s">
        <v>203</v>
      </c>
      <c r="B18" t="s">
        <v>241</v>
      </c>
      <c r="C18" s="11">
        <f>'Toelichting balans'!D45</f>
        <v>0</v>
      </c>
      <c r="D18" s="11"/>
      <c r="E18" s="11"/>
      <c r="F18" s="11">
        <f>SUMIFS(jrrekdata_grb[Balans vorig jaar],jrrekdata_grb[Subverdichtingscode],$B18)-F17</f>
        <v>0</v>
      </c>
    </row>
    <row r="19" spans="1:7" x14ac:dyDescent="0.2">
      <c r="C19" s="11"/>
      <c r="D19" s="11"/>
      <c r="E19" s="11"/>
      <c r="F19" s="11"/>
    </row>
    <row r="20" spans="1:7" x14ac:dyDescent="0.2">
      <c r="A20" s="10"/>
      <c r="C20" s="13"/>
      <c r="D20" s="11">
        <f>SUBTOTAL(9,C16:C18)</f>
        <v>0</v>
      </c>
      <c r="E20" s="11"/>
      <c r="F20" s="13"/>
      <c r="G20" s="11">
        <f>SUBTOTAL(9,F16:F18)</f>
        <v>0</v>
      </c>
    </row>
    <row r="21" spans="1:7" x14ac:dyDescent="0.2">
      <c r="A21" s="10"/>
      <c r="C21" s="25"/>
      <c r="D21" s="11"/>
      <c r="E21" s="11"/>
      <c r="F21" s="25"/>
      <c r="G21" s="11"/>
    </row>
    <row r="22" spans="1:7" x14ac:dyDescent="0.2">
      <c r="A22" s="1" t="s">
        <v>85</v>
      </c>
      <c r="B22" t="s">
        <v>251</v>
      </c>
      <c r="C22" s="11"/>
      <c r="D22" s="11">
        <f>'Toelichting balans'!E52</f>
        <v>0</v>
      </c>
      <c r="E22" s="11"/>
      <c r="F22" s="11"/>
      <c r="G22" s="11">
        <f>SUMIFS(jrrekdata_grb[Balans vorig jaar],jrrekdata_grb[Subverdichtingscode],$B22)</f>
        <v>0</v>
      </c>
    </row>
    <row r="23" spans="1:7" x14ac:dyDescent="0.2">
      <c r="C23" s="11"/>
      <c r="D23" s="11"/>
      <c r="E23" s="11"/>
      <c r="F23" s="11"/>
    </row>
    <row r="24" spans="1:7" ht="13.5" thickBot="1" x14ac:dyDescent="0.25">
      <c r="A24" s="1" t="s">
        <v>188</v>
      </c>
      <c r="D24" s="15">
        <f>SUBTOTAL(9,C8:D23)</f>
        <v>0</v>
      </c>
      <c r="E24" s="11"/>
      <c r="F24" s="11"/>
      <c r="G24" s="15">
        <f>SUBTOTAL(9,F8:G23)</f>
        <v>0</v>
      </c>
    </row>
    <row r="25" spans="1:7" x14ac:dyDescent="0.2">
      <c r="C25" s="11"/>
      <c r="D25" s="11"/>
      <c r="E25" s="11"/>
      <c r="F25" s="11"/>
    </row>
    <row r="26" spans="1:7" x14ac:dyDescent="0.2">
      <c r="C26" s="11"/>
      <c r="D26" s="11"/>
      <c r="E26" s="11"/>
      <c r="F26" s="11"/>
    </row>
    <row r="27" spans="1:7" ht="15.75" x14ac:dyDescent="0.25">
      <c r="A27" s="2" t="s">
        <v>190</v>
      </c>
      <c r="C27" s="11"/>
      <c r="D27" s="11"/>
      <c r="E27" s="11"/>
      <c r="F27" s="11"/>
    </row>
    <row r="28" spans="1:7" x14ac:dyDescent="0.2">
      <c r="C28" s="11"/>
      <c r="D28" s="11"/>
      <c r="E28" s="11"/>
      <c r="F28" s="11"/>
    </row>
    <row r="29" spans="1:7" x14ac:dyDescent="0.2">
      <c r="A29" s="1" t="s">
        <v>94</v>
      </c>
      <c r="C29" s="11"/>
      <c r="D29" s="11"/>
      <c r="E29" s="11"/>
      <c r="F29" s="11"/>
    </row>
    <row r="30" spans="1:7" x14ac:dyDescent="0.2">
      <c r="A30" s="1"/>
      <c r="C30" s="11"/>
      <c r="D30" s="11"/>
      <c r="E30" s="11"/>
      <c r="F30" s="11"/>
    </row>
    <row r="31" spans="1:7" x14ac:dyDescent="0.2">
      <c r="A31" s="10" t="s">
        <v>191</v>
      </c>
      <c r="C31" s="11"/>
      <c r="D31" s="11"/>
      <c r="E31" s="11"/>
      <c r="F31" s="11"/>
    </row>
    <row r="32" spans="1:7" x14ac:dyDescent="0.2">
      <c r="A32" t="s">
        <v>45</v>
      </c>
      <c r="B32" t="s">
        <v>257</v>
      </c>
      <c r="C32" s="11">
        <f>'Toelichting balans'!G60</f>
        <v>0</v>
      </c>
      <c r="D32" s="11"/>
      <c r="E32" s="11"/>
      <c r="F32" s="11">
        <f>'Toelichting balans'!C60</f>
        <v>0</v>
      </c>
    </row>
    <row r="33" spans="1:7" outlineLevel="1" x14ac:dyDescent="0.2">
      <c r="A33" t="s">
        <v>192</v>
      </c>
      <c r="B33" s="27" t="s">
        <v>465</v>
      </c>
      <c r="C33" s="11">
        <f>'Toelichting balans'!G61</f>
        <v>0</v>
      </c>
      <c r="D33" s="11"/>
      <c r="E33" s="11"/>
      <c r="F33" s="11">
        <f>'Toelichting balans'!C61</f>
        <v>0</v>
      </c>
    </row>
    <row r="34" spans="1:7" outlineLevel="1" x14ac:dyDescent="0.2">
      <c r="A34" t="s">
        <v>193</v>
      </c>
      <c r="B34" s="27"/>
      <c r="C34" s="11">
        <f>'Toelichting balans'!G62</f>
        <v>0</v>
      </c>
      <c r="D34" s="11"/>
      <c r="E34" s="11"/>
      <c r="F34" s="11">
        <f>'Toelichting balans'!C62</f>
        <v>0</v>
      </c>
    </row>
    <row r="35" spans="1:7" x14ac:dyDescent="0.2">
      <c r="A35" s="10"/>
      <c r="C35" s="13">
        <f>SUBTOTAL(9,C32)</f>
        <v>0</v>
      </c>
      <c r="D35" s="11"/>
      <c r="E35" s="11"/>
      <c r="F35" s="13">
        <f>SUBTOTAL(9,F32)</f>
        <v>0</v>
      </c>
    </row>
    <row r="36" spans="1:7" x14ac:dyDescent="0.2">
      <c r="C36" s="11"/>
      <c r="D36" s="11"/>
      <c r="E36" s="11"/>
      <c r="F36" s="11"/>
    </row>
    <row r="37" spans="1:7" outlineLevel="1" x14ac:dyDescent="0.2">
      <c r="A37" s="10" t="s">
        <v>194</v>
      </c>
      <c r="C37" s="11"/>
      <c r="D37" s="11"/>
      <c r="E37" s="11"/>
      <c r="F37" s="11"/>
    </row>
    <row r="38" spans="1:7" outlineLevel="1" x14ac:dyDescent="0.2">
      <c r="A38" t="s">
        <v>195</v>
      </c>
      <c r="B38" s="27" t="s">
        <v>464</v>
      </c>
      <c r="C38" s="11">
        <f>'Toelichting balans'!G69</f>
        <v>0</v>
      </c>
      <c r="D38" s="11"/>
      <c r="E38" s="11"/>
      <c r="F38" s="11">
        <f>'Toelichting balans'!C69</f>
        <v>0</v>
      </c>
    </row>
    <row r="39" spans="1:7" outlineLevel="1" x14ac:dyDescent="0.2">
      <c r="A39" t="s">
        <v>196</v>
      </c>
      <c r="B39" s="27" t="s">
        <v>463</v>
      </c>
      <c r="C39" s="11">
        <f>-SUMIFS(jrrekdata_grb[Balans saldo],jrrekdata_grb[Nr.],$B39)</f>
        <v>0</v>
      </c>
      <c r="D39" s="11"/>
      <c r="E39" s="11"/>
      <c r="F39" s="11">
        <f>-SUMIFS(jrrekdata_grb[Balans vorig jaar],jrrekdata_grb[Nr.],$B39)</f>
        <v>0</v>
      </c>
    </row>
    <row r="40" spans="1:7" outlineLevel="1" x14ac:dyDescent="0.2">
      <c r="C40" s="13">
        <f>SUBTOTAL(9,C38:C39)</f>
        <v>0</v>
      </c>
      <c r="D40" s="11"/>
      <c r="E40" s="11"/>
      <c r="F40" s="13">
        <f>SUBTOTAL(9,F38:F39)</f>
        <v>0</v>
      </c>
    </row>
    <row r="41" spans="1:7" x14ac:dyDescent="0.2">
      <c r="C41" s="11"/>
      <c r="D41" s="11">
        <f>SUBTOTAL(9,C32:C39)</f>
        <v>0</v>
      </c>
      <c r="E41" s="11"/>
      <c r="F41" s="11"/>
      <c r="G41" s="11">
        <f>SUBTOTAL(9,F32:F39)</f>
        <v>0</v>
      </c>
    </row>
    <row r="42" spans="1:7" x14ac:dyDescent="0.2">
      <c r="C42" s="11"/>
      <c r="D42" s="11"/>
      <c r="E42" s="11"/>
      <c r="F42" s="11"/>
    </row>
    <row r="43" spans="1:7" outlineLevel="1" x14ac:dyDescent="0.2">
      <c r="A43" s="1" t="s">
        <v>95</v>
      </c>
      <c r="B43" t="s">
        <v>466</v>
      </c>
      <c r="C43" s="11"/>
      <c r="D43" s="11">
        <f>-SUMIFS(jrrekdata_grb[Balans saldo],jrrekdata_grb[Subverdichtingscode],$B43)</f>
        <v>0</v>
      </c>
      <c r="E43" s="11"/>
      <c r="F43" s="11"/>
      <c r="G43">
        <f>-SUMIFS(jrrekdata_grb[Balans vorig jaar],jrrekdata_grb[Subverdichtingscode],$B43)</f>
        <v>0</v>
      </c>
    </row>
    <row r="44" spans="1:7" outlineLevel="1" x14ac:dyDescent="0.2">
      <c r="C44" s="11"/>
      <c r="D44" s="11"/>
      <c r="E44" s="11"/>
      <c r="F44" s="11"/>
    </row>
    <row r="45" spans="1:7" x14ac:dyDescent="0.2">
      <c r="A45" s="1" t="s">
        <v>197</v>
      </c>
      <c r="B45" t="s">
        <v>262</v>
      </c>
      <c r="C45" s="11"/>
      <c r="D45" s="11">
        <f>-SUMIFS(jrrekdata_grb[Balans saldo],jrrekdata_grb[Subverdichtingscode],$B45)-C48</f>
        <v>0</v>
      </c>
      <c r="E45" s="11"/>
      <c r="F45" s="11"/>
      <c r="G45" s="11">
        <f>-SUMIFS(jrrekdata_grb[Balans vorig jaar],jrrekdata_grb[Subverdichtingscode],$B45)-F48</f>
        <v>0</v>
      </c>
    </row>
    <row r="46" spans="1:7" x14ac:dyDescent="0.2">
      <c r="C46" s="11"/>
      <c r="D46" s="11"/>
      <c r="E46" s="11"/>
      <c r="F46" s="11"/>
    </row>
    <row r="47" spans="1:7" x14ac:dyDescent="0.2">
      <c r="A47" s="1" t="s">
        <v>96</v>
      </c>
      <c r="C47" s="11"/>
      <c r="D47" s="11"/>
      <c r="E47" s="11"/>
      <c r="F47" s="11"/>
    </row>
    <row r="48" spans="1:7" x14ac:dyDescent="0.2">
      <c r="A48" t="s">
        <v>198</v>
      </c>
      <c r="C48" s="11"/>
      <c r="D48" s="11"/>
      <c r="E48" s="11"/>
      <c r="F48" s="11"/>
    </row>
    <row r="49" spans="1:7" x14ac:dyDescent="0.2">
      <c r="A49" t="s">
        <v>199</v>
      </c>
      <c r="B49" s="27" t="s">
        <v>265</v>
      </c>
      <c r="C49" s="11">
        <f>-SUMIFS(jrrekdata_grb[Balans saldo],jrrekdata_grb[Nr.],$B49)</f>
        <v>0</v>
      </c>
      <c r="D49" s="11"/>
      <c r="E49" s="11"/>
      <c r="F49" s="11">
        <f>-SUMIFS(jrrekdata_grb[Balans vorig jaar],jrrekdata_grb[Nr.],$B49)</f>
        <v>0</v>
      </c>
    </row>
    <row r="50" spans="1:7" x14ac:dyDescent="0.2">
      <c r="A50" t="s">
        <v>200</v>
      </c>
      <c r="C50" s="11"/>
      <c r="D50" s="11"/>
      <c r="E50" s="11"/>
      <c r="F50" s="11"/>
    </row>
    <row r="51" spans="1:7" x14ac:dyDescent="0.2">
      <c r="A51" t="s">
        <v>201</v>
      </c>
      <c r="C51" s="11"/>
      <c r="D51" s="11"/>
      <c r="E51" s="11"/>
      <c r="F51" s="11"/>
    </row>
    <row r="52" spans="1:7" x14ac:dyDescent="0.2">
      <c r="A52" t="s">
        <v>202</v>
      </c>
      <c r="C52" s="11"/>
      <c r="D52" s="11"/>
      <c r="E52" s="11"/>
      <c r="F52" s="11"/>
    </row>
    <row r="53" spans="1:7" x14ac:dyDescent="0.2">
      <c r="A53" t="s">
        <v>203</v>
      </c>
      <c r="B53" t="s">
        <v>269</v>
      </c>
      <c r="C53" s="11">
        <f>-SUMIFS(jrrekdata_grb[Balans saldo],jrrekdata_grb[Subverdichtingscode],$B53)-SUM(C48:C52)</f>
        <v>0</v>
      </c>
      <c r="E53" s="11"/>
      <c r="F53" s="11">
        <f>-SUMIFS(jrrekdata_grb[Balans vorig jaar],jrrekdata_grb[Subverdichtingscode],$B53)-SUM(F48:F52)</f>
        <v>0</v>
      </c>
    </row>
    <row r="54" spans="1:7" x14ac:dyDescent="0.2">
      <c r="C54" s="12"/>
      <c r="D54" s="11">
        <f>SUBTOTAL(9,C48:C53)</f>
        <v>0</v>
      </c>
      <c r="E54" s="11"/>
      <c r="F54" s="12"/>
      <c r="G54" s="11">
        <f>SUBTOTAL(9,F48:F53)</f>
        <v>0</v>
      </c>
    </row>
    <row r="55" spans="1:7" x14ac:dyDescent="0.2">
      <c r="C55" s="11"/>
      <c r="D55" s="11"/>
      <c r="E55" s="11"/>
      <c r="F55" s="11"/>
    </row>
    <row r="56" spans="1:7" ht="13.5" thickBot="1" x14ac:dyDescent="0.25">
      <c r="A56" s="1" t="s">
        <v>204</v>
      </c>
      <c r="D56" s="15">
        <f>SUBTOTAL(9,C32:D53)</f>
        <v>0</v>
      </c>
      <c r="E56" s="11"/>
      <c r="G56" s="15">
        <f>SUBTOTAL(9,F32:G53)</f>
        <v>0</v>
      </c>
    </row>
    <row r="57" spans="1:7" x14ac:dyDescent="0.2">
      <c r="C57" s="11"/>
      <c r="D57" s="11"/>
      <c r="E57" s="11"/>
    </row>
    <row r="58" spans="1:7" outlineLevel="1" x14ac:dyDescent="0.2">
      <c r="C58" s="11"/>
      <c r="D58" s="11">
        <f>D24-D56</f>
        <v>0</v>
      </c>
      <c r="E58" s="11"/>
      <c r="G58" s="11">
        <f>G24-G56</f>
        <v>0</v>
      </c>
    </row>
    <row r="59" spans="1:7" x14ac:dyDescent="0.2">
      <c r="C59" s="11"/>
      <c r="D59" s="11"/>
      <c r="E59" s="11"/>
    </row>
    <row r="60" spans="1:7" x14ac:dyDescent="0.2">
      <c r="C60" s="11"/>
      <c r="D60" s="11"/>
      <c r="E60" s="11"/>
    </row>
    <row r="61" spans="1:7" x14ac:dyDescent="0.2">
      <c r="C61" s="11"/>
      <c r="D61" s="11"/>
      <c r="E61" s="11"/>
    </row>
    <row r="62" spans="1:7" x14ac:dyDescent="0.2">
      <c r="C62" s="11"/>
      <c r="D62" s="11"/>
      <c r="E62" s="11"/>
    </row>
    <row r="63" spans="1:7" x14ac:dyDescent="0.2">
      <c r="C63" s="11"/>
      <c r="D63" s="11"/>
      <c r="E63" s="11"/>
    </row>
  </sheetData>
  <pageMargins left="0.70866141732283472" right="0.70866141732283472" top="0.74803149606299213" bottom="0.74803149606299213" header="0.31496062992125984" footer="0.31496062992125984"/>
  <pageSetup paperSize="9" orientation="portrait" r:id="rId1"/>
  <headerFooter>
    <oddHeader>&amp;R&amp;G</oddHeader>
    <oddFooter>&amp;L&amp;9Concept jaarrekening 2021&amp;C&amp;9Versie: 23-2-2022&amp;R&amp;9- &amp;P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tabColor rgb="FF92D050"/>
  </sheetPr>
  <dimension ref="A1:G52"/>
  <sheetViews>
    <sheetView topLeftCell="A6" workbookViewId="0">
      <selection activeCell="G35" sqref="G35"/>
    </sheetView>
  </sheetViews>
  <sheetFormatPr defaultRowHeight="12.75" outlineLevelRow="1" outlineLevelCol="1" x14ac:dyDescent="0.2"/>
  <cols>
    <col min="1" max="1" width="41.42578125" bestFit="1" customWidth="1"/>
    <col min="2" max="2" width="15.7109375" customWidth="1" outlineLevel="1"/>
    <col min="4" max="4" width="2.28515625" customWidth="1"/>
    <col min="5" max="5" width="10.140625" bestFit="1" customWidth="1"/>
    <col min="6" max="6" width="2.28515625" customWidth="1"/>
    <col min="7" max="7" width="10.140625" bestFit="1" customWidth="1"/>
    <col min="10" max="10" width="9.140625" bestFit="1" customWidth="1"/>
  </cols>
  <sheetData>
    <row r="1" spans="1:7" ht="18" x14ac:dyDescent="0.25">
      <c r="A1" s="9" t="str">
        <f>"Staat van baten en lasten over "&amp;verslagjaar&amp;", begroting "&amp;verslagjaar&amp;" en exploitatie "&amp;verslagjaar-1</f>
        <v>Staat van baten en lasten over 2022, begroting 2022 en exploitatie 2021</v>
      </c>
      <c r="B1" s="9"/>
    </row>
    <row r="4" spans="1:7" x14ac:dyDescent="0.2">
      <c r="C4" s="16" t="s">
        <v>98</v>
      </c>
      <c r="D4" s="16"/>
      <c r="E4" s="16" t="s">
        <v>97</v>
      </c>
      <c r="G4" s="16" t="s">
        <v>98</v>
      </c>
    </row>
    <row r="5" spans="1:7" x14ac:dyDescent="0.2">
      <c r="B5" s="1" t="s">
        <v>93</v>
      </c>
      <c r="C5" s="50">
        <f>verslagjaar</f>
        <v>2022</v>
      </c>
      <c r="D5" s="1"/>
      <c r="E5" s="50">
        <f>verslagjaar</f>
        <v>2022</v>
      </c>
      <c r="F5" s="1"/>
      <c r="G5" s="50">
        <f>verslagjaar-1</f>
        <v>2021</v>
      </c>
    </row>
    <row r="6" spans="1:7" x14ac:dyDescent="0.2">
      <c r="B6" s="1"/>
      <c r="C6" s="29" t="s">
        <v>470</v>
      </c>
      <c r="D6" s="1"/>
      <c r="E6" s="29" t="s">
        <v>470</v>
      </c>
      <c r="F6" s="1"/>
      <c r="G6" s="29" t="s">
        <v>470</v>
      </c>
    </row>
    <row r="7" spans="1:7" x14ac:dyDescent="0.2">
      <c r="B7" s="1"/>
      <c r="C7" s="29"/>
      <c r="D7" s="1"/>
      <c r="E7" s="29"/>
      <c r="F7" s="1"/>
      <c r="G7" s="29"/>
    </row>
    <row r="8" spans="1:7" ht="15.75" x14ac:dyDescent="0.25">
      <c r="A8" s="2" t="s">
        <v>99</v>
      </c>
      <c r="B8" s="2"/>
    </row>
    <row r="10" spans="1:7" x14ac:dyDescent="0.2">
      <c r="A10" t="s">
        <v>542</v>
      </c>
      <c r="B10" t="s">
        <v>440</v>
      </c>
      <c r="C10" s="11">
        <f>-SUMIFS(jrrekdata_grb[Saldo W&amp;V],jrrekdata_grb[Verdichtingscode],$B10)</f>
        <v>0</v>
      </c>
      <c r="D10" s="11"/>
      <c r="E10" s="11">
        <f>-SUMIFS(jrrekdata_grb[Budget],jrrekdata_grb[Verdichtingscode],$B10)</f>
        <v>0</v>
      </c>
      <c r="F10" s="11"/>
      <c r="G10" s="11">
        <f>-SUMIFS(jrrekdata_grb[W&amp;V vorig jr.],jrrekdata_grb[Verdichtingscode],$B10)</f>
        <v>0</v>
      </c>
    </row>
    <row r="11" spans="1:7" x14ac:dyDescent="0.2">
      <c r="C11" s="11"/>
      <c r="D11" s="11"/>
      <c r="E11" s="11"/>
      <c r="F11" s="11"/>
      <c r="G11" s="11"/>
    </row>
    <row r="12" spans="1:7" x14ac:dyDescent="0.2">
      <c r="A12" t="s">
        <v>449</v>
      </c>
      <c r="B12" t="s">
        <v>448</v>
      </c>
      <c r="C12" s="11">
        <f>-SUMIFS(jrrekdata_grb[Saldo W&amp;V],jrrekdata_grb[Verdichtingscode],$B12)</f>
        <v>0</v>
      </c>
      <c r="D12" s="11"/>
      <c r="E12" s="11">
        <f>-SUMIFS(jrrekdata_grb[Budget],jrrekdata_grb[Verdichtingscode],$B12)</f>
        <v>0</v>
      </c>
      <c r="F12" s="11"/>
      <c r="G12" s="11">
        <f>-SUMIFS(jrrekdata_grb[W&amp;V vorig jr.],jrrekdata_grb[Verdichtingscode],$B12)</f>
        <v>0</v>
      </c>
    </row>
    <row r="13" spans="1:7" x14ac:dyDescent="0.2">
      <c r="C13" s="11"/>
      <c r="D13" s="11"/>
      <c r="E13" s="11"/>
      <c r="F13" s="11"/>
      <c r="G13" s="11"/>
    </row>
    <row r="14" spans="1:7" x14ac:dyDescent="0.2">
      <c r="A14" t="s">
        <v>53</v>
      </c>
      <c r="B14" t="s">
        <v>455</v>
      </c>
      <c r="C14" s="11">
        <f>-SUMIFS(jrrekdata_grb[Saldo W&amp;V],jrrekdata_grb[Verdichtingscode],$B14)</f>
        <v>0</v>
      </c>
      <c r="D14" s="11"/>
      <c r="E14" s="11">
        <f>-SUMIFS(jrrekdata_grb[Budget],jrrekdata_grb[Verdichtingscode],$B14)</f>
        <v>0</v>
      </c>
      <c r="F14" s="11"/>
      <c r="G14" s="11">
        <f>-SUMIFS(jrrekdata_grb[W&amp;V vorig jr.],jrrekdata_grb[Verdichtingscode],$B14)</f>
        <v>0</v>
      </c>
    </row>
    <row r="15" spans="1:7" x14ac:dyDescent="0.2">
      <c r="E15" s="11"/>
      <c r="F15" s="11"/>
      <c r="G15" s="11"/>
    </row>
    <row r="16" spans="1:7" x14ac:dyDescent="0.2">
      <c r="A16" s="1" t="s">
        <v>101</v>
      </c>
      <c r="C16" s="17">
        <f>SUBTOTAL(9,C10:C14)</f>
        <v>0</v>
      </c>
      <c r="D16" s="25"/>
      <c r="E16" s="17">
        <f>SUBTOTAL(9,E10:E14)</f>
        <v>0</v>
      </c>
      <c r="F16" s="11"/>
      <c r="G16" s="17">
        <f>SUBTOTAL(9,G10:G14)</f>
        <v>0</v>
      </c>
    </row>
    <row r="17" spans="1:7" x14ac:dyDescent="0.2">
      <c r="E17" s="11"/>
      <c r="F17" s="11"/>
      <c r="G17" s="11"/>
    </row>
    <row r="18" spans="1:7" x14ac:dyDescent="0.2">
      <c r="E18" s="11"/>
      <c r="F18" s="11"/>
      <c r="G18" s="11"/>
    </row>
    <row r="19" spans="1:7" ht="15.75" x14ac:dyDescent="0.25">
      <c r="A19" s="2" t="s">
        <v>100</v>
      </c>
      <c r="E19" s="11"/>
      <c r="F19" s="11"/>
      <c r="G19" s="11"/>
    </row>
    <row r="20" spans="1:7" x14ac:dyDescent="0.2">
      <c r="E20" s="11"/>
      <c r="F20" s="11"/>
      <c r="G20" s="11"/>
    </row>
    <row r="21" spans="1:7" x14ac:dyDescent="0.2">
      <c r="A21" t="s">
        <v>543</v>
      </c>
      <c r="B21" t="s">
        <v>285</v>
      </c>
      <c r="C21" s="11">
        <f>'Toelichting baten-lasten'!C40</f>
        <v>0</v>
      </c>
      <c r="D21" s="11"/>
      <c r="E21" s="11">
        <f>'Toelichting baten-lasten'!E40</f>
        <v>0</v>
      </c>
      <c r="F21" s="11"/>
      <c r="G21" s="11">
        <f>'Toelichting baten-lasten'!G40</f>
        <v>0</v>
      </c>
    </row>
    <row r="22" spans="1:7" x14ac:dyDescent="0.2">
      <c r="A22" t="s">
        <v>319</v>
      </c>
      <c r="B22" t="s">
        <v>318</v>
      </c>
      <c r="C22" s="11">
        <f>'Toelichting baten-lasten'!C52</f>
        <v>0</v>
      </c>
      <c r="D22" s="11"/>
      <c r="E22" s="11">
        <f>'Toelichting baten-lasten'!E52</f>
        <v>0</v>
      </c>
      <c r="F22" s="11"/>
      <c r="G22" s="11">
        <f>'Toelichting baten-lasten'!G52</f>
        <v>0</v>
      </c>
    </row>
    <row r="23" spans="1:7" x14ac:dyDescent="0.2">
      <c r="E23" s="11"/>
      <c r="F23" s="11"/>
      <c r="G23" s="11"/>
    </row>
    <row r="24" spans="1:7" x14ac:dyDescent="0.2">
      <c r="A24" t="s">
        <v>336</v>
      </c>
      <c r="B24" t="s">
        <v>335</v>
      </c>
      <c r="C24" s="11">
        <f>'Toelichting baten-lasten'!C68</f>
        <v>0</v>
      </c>
      <c r="D24" s="11"/>
      <c r="E24" s="11">
        <f>'Toelichting baten-lasten'!E68</f>
        <v>0</v>
      </c>
      <c r="F24" s="11"/>
      <c r="G24" s="11">
        <f>'Toelichting baten-lasten'!G68</f>
        <v>0</v>
      </c>
    </row>
    <row r="25" spans="1:7" x14ac:dyDescent="0.2">
      <c r="E25" s="11"/>
      <c r="F25" s="11"/>
      <c r="G25" s="11"/>
    </row>
    <row r="26" spans="1:7" x14ac:dyDescent="0.2">
      <c r="A26" t="s">
        <v>544</v>
      </c>
      <c r="B26" t="s">
        <v>348</v>
      </c>
      <c r="C26" s="11">
        <f>'Toelichting baten-lasten'!C74</f>
        <v>0</v>
      </c>
      <c r="D26" s="11"/>
      <c r="E26" s="11">
        <f>'Toelichting baten-lasten'!E74</f>
        <v>0</v>
      </c>
      <c r="F26" s="11"/>
      <c r="G26" s="11">
        <f>'Toelichting baten-lasten'!G74</f>
        <v>0</v>
      </c>
    </row>
    <row r="27" spans="1:7" x14ac:dyDescent="0.2">
      <c r="A27" t="s">
        <v>363</v>
      </c>
      <c r="B27" t="s">
        <v>362</v>
      </c>
      <c r="C27" s="11">
        <f>'Toelichting baten-lasten'!C82</f>
        <v>0</v>
      </c>
      <c r="D27" s="11"/>
      <c r="E27" s="11">
        <f>'Toelichting baten-lasten'!E82</f>
        <v>0</v>
      </c>
      <c r="F27" s="11"/>
      <c r="G27" s="11">
        <f>'Toelichting baten-lasten'!G82</f>
        <v>0</v>
      </c>
    </row>
    <row r="28" spans="1:7" x14ac:dyDescent="0.2">
      <c r="C28" s="11"/>
      <c r="D28" s="11"/>
      <c r="E28" s="11"/>
      <c r="F28" s="11"/>
      <c r="G28" s="11"/>
    </row>
    <row r="29" spans="1:7" x14ac:dyDescent="0.2">
      <c r="A29" t="s">
        <v>395</v>
      </c>
      <c r="B29" t="s">
        <v>394</v>
      </c>
      <c r="C29" s="11">
        <f>'Toelichting baten-lasten'!C89</f>
        <v>0</v>
      </c>
      <c r="D29" s="11"/>
      <c r="E29" s="11">
        <f>'Toelichting baten-lasten'!E89</f>
        <v>0</v>
      </c>
      <c r="F29" s="11"/>
      <c r="G29" s="11">
        <f>'Toelichting baten-lasten'!G89</f>
        <v>0</v>
      </c>
    </row>
    <row r="30" spans="1:7" x14ac:dyDescent="0.2">
      <c r="C30" s="11"/>
      <c r="D30" s="11"/>
      <c r="E30" s="11"/>
      <c r="F30" s="11"/>
      <c r="G30" s="11"/>
    </row>
    <row r="31" spans="1:7" x14ac:dyDescent="0.2">
      <c r="A31" t="s">
        <v>545</v>
      </c>
      <c r="B31" t="s">
        <v>429</v>
      </c>
      <c r="C31" s="11">
        <f>'Toelichting baten-lasten'!C91</f>
        <v>0</v>
      </c>
      <c r="D31" s="11"/>
      <c r="E31" s="11">
        <f>'Toelichting baten-lasten'!E91</f>
        <v>0</v>
      </c>
      <c r="F31" s="11"/>
      <c r="G31" s="11">
        <f>'Toelichting baten-lasten'!G91</f>
        <v>0</v>
      </c>
    </row>
    <row r="32" spans="1:7" x14ac:dyDescent="0.2">
      <c r="E32" s="11"/>
      <c r="F32" s="11"/>
      <c r="G32" s="11"/>
    </row>
    <row r="33" spans="1:7" x14ac:dyDescent="0.2">
      <c r="A33" s="1" t="s">
        <v>102</v>
      </c>
      <c r="C33" s="12">
        <f>SUBTOTAL(9,C21:C31)</f>
        <v>0</v>
      </c>
      <c r="D33" s="25"/>
      <c r="E33" s="12">
        <f>SUBTOTAL(9,E21:E31)</f>
        <v>0</v>
      </c>
      <c r="F33" s="11"/>
      <c r="G33" s="12">
        <f>SUBTOTAL(9,G21:G31)</f>
        <v>0</v>
      </c>
    </row>
    <row r="34" spans="1:7" x14ac:dyDescent="0.2">
      <c r="E34" s="11"/>
      <c r="F34" s="11"/>
      <c r="G34" s="11"/>
    </row>
    <row r="35" spans="1:7" ht="13.5" thickBot="1" x14ac:dyDescent="0.25">
      <c r="A35" s="1" t="s">
        <v>546</v>
      </c>
      <c r="C35" s="15">
        <f>C16-C33</f>
        <v>0</v>
      </c>
      <c r="D35" s="18"/>
      <c r="E35" s="15">
        <f>E16-E33</f>
        <v>0</v>
      </c>
      <c r="F35" s="11"/>
      <c r="G35" s="15">
        <f>G16-G33</f>
        <v>0</v>
      </c>
    </row>
    <row r="36" spans="1:7" x14ac:dyDescent="0.2">
      <c r="E36" s="11"/>
      <c r="F36" s="11"/>
      <c r="G36" s="11"/>
    </row>
    <row r="37" spans="1:7" ht="15.75" outlineLevel="1" x14ac:dyDescent="0.25">
      <c r="A37" s="2" t="s">
        <v>547</v>
      </c>
    </row>
    <row r="38" spans="1:7" outlineLevel="1" x14ac:dyDescent="0.2"/>
    <row r="39" spans="1:7" outlineLevel="1" x14ac:dyDescent="0.2">
      <c r="A39" t="s">
        <v>548</v>
      </c>
      <c r="C39" s="11"/>
      <c r="E39" s="11"/>
      <c r="G39" s="11"/>
    </row>
    <row r="40" spans="1:7" outlineLevel="1" x14ac:dyDescent="0.2">
      <c r="A40" t="s">
        <v>549</v>
      </c>
      <c r="C40" s="11"/>
      <c r="E40" s="11"/>
      <c r="G40" s="11"/>
    </row>
    <row r="41" spans="1:7" outlineLevel="1" x14ac:dyDescent="0.2">
      <c r="C41" s="11"/>
      <c r="E41" s="11"/>
      <c r="G41" s="11"/>
    </row>
    <row r="42" spans="1:7" ht="13.5" outlineLevel="1" thickBot="1" x14ac:dyDescent="0.25">
      <c r="C42" s="15">
        <f>C39-C40</f>
        <v>0</v>
      </c>
      <c r="E42" s="15">
        <f>E39-E40</f>
        <v>0</v>
      </c>
      <c r="G42" s="15">
        <f>G39-G40</f>
        <v>0</v>
      </c>
    </row>
    <row r="43" spans="1:7" outlineLevel="1" x14ac:dyDescent="0.2"/>
    <row r="44" spans="1:7" ht="15.75" x14ac:dyDescent="0.25">
      <c r="A44" s="2" t="s">
        <v>550</v>
      </c>
    </row>
    <row r="46" spans="1:7" outlineLevel="1" x14ac:dyDescent="0.2">
      <c r="A46" t="s">
        <v>192</v>
      </c>
      <c r="C46" s="11"/>
      <c r="E46" s="11"/>
      <c r="G46" s="11"/>
    </row>
    <row r="47" spans="1:7" outlineLevel="1" x14ac:dyDescent="0.2">
      <c r="A47" t="s">
        <v>193</v>
      </c>
      <c r="C47" s="11"/>
      <c r="E47" s="11"/>
      <c r="G47" s="11"/>
    </row>
    <row r="48" spans="1:7" x14ac:dyDescent="0.2">
      <c r="A48" t="s">
        <v>500</v>
      </c>
      <c r="C48" s="11">
        <f>'Toelichting balans'!E69-'Toelichting balans'!F69</f>
        <v>0</v>
      </c>
      <c r="E48" s="11"/>
      <c r="G48" s="11">
        <f>'Toelichting balans'!C69-'Toelichting balans'!I69</f>
        <v>0</v>
      </c>
    </row>
    <row r="49" spans="1:7" x14ac:dyDescent="0.2">
      <c r="A49" t="s">
        <v>45</v>
      </c>
      <c r="C49" s="11">
        <f>C35-SUM(C46:C48)</f>
        <v>0</v>
      </c>
      <c r="E49" s="11"/>
      <c r="G49" s="11">
        <f>G35-SUM(G46:G48)</f>
        <v>0</v>
      </c>
    </row>
    <row r="50" spans="1:7" x14ac:dyDescent="0.2">
      <c r="C50" s="11"/>
      <c r="E50" s="11"/>
      <c r="G50" s="11"/>
    </row>
    <row r="51" spans="1:7" ht="13.5" thickBot="1" x14ac:dyDescent="0.25">
      <c r="C51" s="15">
        <f>SUM(C46:C49)</f>
        <v>0</v>
      </c>
      <c r="E51" s="18"/>
      <c r="G51" s="15">
        <f>SUM(G46:G49)</f>
        <v>0</v>
      </c>
    </row>
    <row r="52" spans="1:7" hidden="1" x14ac:dyDescent="0.2"/>
  </sheetData>
  <pageMargins left="0.70866141732283472" right="0.70866141732283472" top="0.74803149606299213" bottom="0.74803149606299213" header="0.31496062992125984" footer="0.31496062992125984"/>
  <pageSetup paperSize="9" orientation="portrait" r:id="rId1"/>
  <headerFooter>
    <oddHeader>&amp;R&amp;G</oddHeader>
    <oddFooter>&amp;L&amp;9Concept jaarrekening 2021&amp;C&amp;9Versie: 23-2-2022&amp;R&amp;9- &amp;P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tabColor rgb="FF92D050"/>
  </sheetPr>
  <dimension ref="A1:F95"/>
  <sheetViews>
    <sheetView workbookViewId="0"/>
  </sheetViews>
  <sheetFormatPr defaultRowHeight="12.75" outlineLevelRow="1" x14ac:dyDescent="0.2"/>
  <cols>
    <col min="1" max="1" width="41.42578125" bestFit="1" customWidth="1"/>
    <col min="2" max="2" width="10.140625" customWidth="1"/>
    <col min="3" max="3" width="11.140625" customWidth="1"/>
    <col min="4" max="4" width="2.7109375" customWidth="1"/>
    <col min="5" max="6" width="10.140625" customWidth="1"/>
  </cols>
  <sheetData>
    <row r="1" spans="1:6" ht="18" x14ac:dyDescent="0.25">
      <c r="A1" s="9" t="str">
        <f>"Kasstroomoverzicht over "&amp;verslagjaar</f>
        <v>Kasstroomoverzicht over 2022</v>
      </c>
    </row>
    <row r="3" spans="1:6" x14ac:dyDescent="0.2">
      <c r="B3" s="54" t="s">
        <v>597</v>
      </c>
      <c r="C3" s="54" t="s">
        <v>597</v>
      </c>
      <c r="D3" s="54"/>
      <c r="E3" s="54" t="s">
        <v>498</v>
      </c>
      <c r="F3" s="53"/>
    </row>
    <row r="4" spans="1:6" x14ac:dyDescent="0.2">
      <c r="B4" s="55">
        <f>DATE(verslagjaar,12,31)</f>
        <v>44926</v>
      </c>
      <c r="C4" s="55">
        <f>DATE(verslagjaar,1,1)</f>
        <v>44562</v>
      </c>
      <c r="D4" s="54"/>
      <c r="E4" s="54" t="s">
        <v>598</v>
      </c>
      <c r="F4" s="53"/>
    </row>
    <row r="6" spans="1:6" x14ac:dyDescent="0.2">
      <c r="A6" s="1" t="s">
        <v>596</v>
      </c>
    </row>
    <row r="8" spans="1:6" x14ac:dyDescent="0.2">
      <c r="A8" t="s">
        <v>599</v>
      </c>
      <c r="B8" s="11">
        <f>Balans!D22</f>
        <v>0</v>
      </c>
      <c r="C8" s="11">
        <f>Balans!G22</f>
        <v>0</v>
      </c>
      <c r="F8" s="18">
        <f>B8-C8</f>
        <v>0</v>
      </c>
    </row>
    <row r="10" spans="1:6" x14ac:dyDescent="0.2">
      <c r="A10" s="1" t="s">
        <v>600</v>
      </c>
    </row>
    <row r="12" spans="1:6" x14ac:dyDescent="0.2">
      <c r="A12" s="1" t="s">
        <v>601</v>
      </c>
    </row>
    <row r="13" spans="1:6" x14ac:dyDescent="0.2">
      <c r="A13" s="53" t="s">
        <v>602</v>
      </c>
      <c r="F13" s="11">
        <f>'Staat van baten en lasten'!C35</f>
        <v>0</v>
      </c>
    </row>
    <row r="15" spans="1:6" x14ac:dyDescent="0.2">
      <c r="A15" s="1" t="s">
        <v>603</v>
      </c>
    </row>
    <row r="16" spans="1:6" x14ac:dyDescent="0.2">
      <c r="A16" t="s">
        <v>604</v>
      </c>
      <c r="B16" s="11">
        <f>Balans!D11</f>
        <v>0</v>
      </c>
      <c r="C16" s="11">
        <f>Balans!G11</f>
        <v>0</v>
      </c>
      <c r="E16" s="11">
        <f>C16-B16</f>
        <v>0</v>
      </c>
    </row>
    <row r="17" spans="1:6" x14ac:dyDescent="0.2">
      <c r="A17" t="s">
        <v>605</v>
      </c>
      <c r="B17" s="11">
        <f>Balans!D20</f>
        <v>0</v>
      </c>
      <c r="C17" s="11">
        <f>Balans!G20</f>
        <v>0</v>
      </c>
      <c r="E17" s="11">
        <f>C17-B17</f>
        <v>0</v>
      </c>
    </row>
    <row r="19" spans="1:6" outlineLevel="1" x14ac:dyDescent="0.2">
      <c r="A19" t="s">
        <v>606</v>
      </c>
      <c r="B19" s="11">
        <f>-Balans!D43</f>
        <v>0</v>
      </c>
      <c r="C19" s="11">
        <f>-Balans!G43</f>
        <v>0</v>
      </c>
      <c r="E19" s="11">
        <f t="shared" ref="E19:E21" si="0">C19-B19</f>
        <v>0</v>
      </c>
    </row>
    <row r="20" spans="1:6" x14ac:dyDescent="0.2">
      <c r="A20" t="s">
        <v>607</v>
      </c>
      <c r="B20" s="11">
        <f>-Balans!D45</f>
        <v>0</v>
      </c>
      <c r="C20" s="11">
        <f>-Balans!G45</f>
        <v>0</v>
      </c>
      <c r="E20" s="11">
        <f t="shared" si="0"/>
        <v>0</v>
      </c>
    </row>
    <row r="21" spans="1:6" x14ac:dyDescent="0.2">
      <c r="A21" t="s">
        <v>608</v>
      </c>
      <c r="B21" s="11">
        <f>-Balans!D54</f>
        <v>0</v>
      </c>
      <c r="C21" s="11">
        <f>-Balans!G54</f>
        <v>0</v>
      </c>
      <c r="E21" s="11">
        <f t="shared" si="0"/>
        <v>0</v>
      </c>
    </row>
    <row r="23" spans="1:6" x14ac:dyDescent="0.2">
      <c r="C23" s="18"/>
      <c r="E23" s="17">
        <f>SUM(E16:E21)</f>
        <v>0</v>
      </c>
      <c r="F23" s="11">
        <f>E23</f>
        <v>0</v>
      </c>
    </row>
    <row r="25" spans="1:6" ht="13.5" thickBot="1" x14ac:dyDescent="0.25">
      <c r="A25" s="1" t="str">
        <f>"Specificatie "&amp;IF(F25&gt;=0,"toename","afname")</f>
        <v>Specificatie toename</v>
      </c>
      <c r="E25" s="11"/>
      <c r="F25" s="15">
        <f>F13+F23</f>
        <v>0</v>
      </c>
    </row>
    <row r="27" spans="1:6" x14ac:dyDescent="0.2">
      <c r="A27" s="1" t="s">
        <v>609</v>
      </c>
    </row>
    <row r="28" spans="1:6" x14ac:dyDescent="0.2">
      <c r="A28" s="1"/>
    </row>
    <row r="29" spans="1:6" x14ac:dyDescent="0.2">
      <c r="A29" s="10" t="s">
        <v>620</v>
      </c>
    </row>
    <row r="30" spans="1:6" x14ac:dyDescent="0.2">
      <c r="A30" t="s">
        <v>610</v>
      </c>
      <c r="B30" s="11"/>
      <c r="C30" s="11"/>
      <c r="D30" s="11"/>
      <c r="E30" s="11"/>
    </row>
    <row r="31" spans="1:6" ht="26.45" customHeight="1" x14ac:dyDescent="0.2">
      <c r="A31" s="66" t="s">
        <v>611</v>
      </c>
      <c r="B31" s="66"/>
      <c r="C31" s="66"/>
      <c r="D31" s="66"/>
      <c r="E31" s="66"/>
      <c r="F31" s="66"/>
    </row>
    <row r="32" spans="1:6" x14ac:dyDescent="0.2">
      <c r="B32" s="11"/>
      <c r="C32" s="11"/>
      <c r="D32" s="11"/>
      <c r="E32" s="11"/>
    </row>
    <row r="33" spans="1:6" x14ac:dyDescent="0.2">
      <c r="A33" s="10" t="s">
        <v>621</v>
      </c>
      <c r="B33" s="11"/>
      <c r="C33" s="11"/>
      <c r="D33" s="11"/>
      <c r="E33" s="11"/>
    </row>
    <row r="34" spans="1:6" x14ac:dyDescent="0.2">
      <c r="A34" t="s">
        <v>612</v>
      </c>
      <c r="B34" s="11"/>
      <c r="C34" s="11"/>
      <c r="D34" s="11"/>
      <c r="E34" s="11"/>
    </row>
    <row r="35" spans="1:6" x14ac:dyDescent="0.2">
      <c r="A35" t="s">
        <v>613</v>
      </c>
      <c r="B35" s="11"/>
      <c r="C35" s="11"/>
      <c r="D35" s="11"/>
      <c r="E35" s="11"/>
    </row>
    <row r="36" spans="1:6" x14ac:dyDescent="0.2">
      <c r="B36" s="11"/>
      <c r="C36" s="11"/>
      <c r="D36" s="11"/>
      <c r="E36" s="11"/>
    </row>
    <row r="37" spans="1:6" x14ac:dyDescent="0.2">
      <c r="A37" s="10" t="s">
        <v>622</v>
      </c>
      <c r="B37" s="11"/>
      <c r="C37" s="11"/>
      <c r="D37" s="11"/>
      <c r="E37" s="11"/>
    </row>
    <row r="38" spans="1:6" x14ac:dyDescent="0.2">
      <c r="A38" t="s">
        <v>614</v>
      </c>
      <c r="B38" s="11"/>
      <c r="C38" s="11"/>
      <c r="D38" s="11"/>
      <c r="E38" s="11"/>
    </row>
    <row r="39" spans="1:6" x14ac:dyDescent="0.2">
      <c r="A39" t="s">
        <v>615</v>
      </c>
      <c r="B39" s="11"/>
      <c r="C39" s="11"/>
      <c r="D39" s="11"/>
      <c r="E39" s="11"/>
    </row>
    <row r="40" spans="1:6" x14ac:dyDescent="0.2">
      <c r="B40" s="11"/>
      <c r="C40" s="11"/>
      <c r="D40" s="11"/>
      <c r="E40" s="11"/>
    </row>
    <row r="41" spans="1:6" hidden="1" outlineLevel="1" x14ac:dyDescent="0.2">
      <c r="A41" s="10" t="s">
        <v>95</v>
      </c>
      <c r="B41" s="11"/>
      <c r="C41" s="11"/>
      <c r="D41" s="11"/>
      <c r="E41" s="11"/>
    </row>
    <row r="42" spans="1:6" ht="26.45" hidden="1" customHeight="1" outlineLevel="1" x14ac:dyDescent="0.2">
      <c r="A42" s="66" t="s">
        <v>616</v>
      </c>
      <c r="B42" s="66"/>
      <c r="C42" s="66"/>
      <c r="D42" s="66"/>
      <c r="E42" s="66"/>
      <c r="F42" s="66"/>
    </row>
    <row r="43" spans="1:6" ht="26.45" hidden="1" customHeight="1" outlineLevel="1" x14ac:dyDescent="0.2">
      <c r="A43" s="66" t="s">
        <v>617</v>
      </c>
      <c r="B43" s="66"/>
      <c r="C43" s="66"/>
      <c r="D43" s="66"/>
      <c r="E43" s="66"/>
      <c r="F43" s="66"/>
    </row>
    <row r="44" spans="1:6" hidden="1" outlineLevel="1" x14ac:dyDescent="0.2">
      <c r="B44" s="11"/>
      <c r="C44" s="11"/>
      <c r="D44" s="11"/>
      <c r="E44" s="11"/>
    </row>
    <row r="45" spans="1:6" collapsed="1" x14ac:dyDescent="0.2">
      <c r="A45" s="10" t="s">
        <v>623</v>
      </c>
      <c r="B45" s="11"/>
      <c r="C45" s="11"/>
      <c r="D45" s="11"/>
      <c r="E45" s="11"/>
    </row>
    <row r="46" spans="1:6" ht="26.45" customHeight="1" x14ac:dyDescent="0.2">
      <c r="A46" s="66" t="s">
        <v>618</v>
      </c>
      <c r="B46" s="66"/>
      <c r="C46" s="66"/>
      <c r="D46" s="66"/>
      <c r="E46" s="66"/>
      <c r="F46" s="66"/>
    </row>
    <row r="47" spans="1:6" ht="26.45" customHeight="1" x14ac:dyDescent="0.2">
      <c r="A47" s="66" t="s">
        <v>619</v>
      </c>
      <c r="B47" s="66"/>
      <c r="C47" s="66"/>
      <c r="D47" s="66"/>
      <c r="E47" s="66"/>
      <c r="F47" s="66"/>
    </row>
    <row r="48" spans="1:6" x14ac:dyDescent="0.2">
      <c r="B48" s="11"/>
      <c r="C48" s="11"/>
      <c r="D48" s="11"/>
      <c r="E48" s="11"/>
    </row>
    <row r="49" spans="2:5" x14ac:dyDescent="0.2">
      <c r="B49" s="11"/>
      <c r="C49" s="11"/>
      <c r="D49" s="11"/>
      <c r="E49" s="11"/>
    </row>
    <row r="50" spans="2:5" x14ac:dyDescent="0.2">
      <c r="B50" s="11"/>
      <c r="C50" s="11"/>
      <c r="D50" s="11"/>
      <c r="E50" s="11"/>
    </row>
    <row r="51" spans="2:5" x14ac:dyDescent="0.2">
      <c r="B51" s="11"/>
      <c r="C51" s="11"/>
      <c r="D51" s="11"/>
      <c r="E51" s="11"/>
    </row>
    <row r="52" spans="2:5" x14ac:dyDescent="0.2">
      <c r="B52" s="11"/>
      <c r="C52" s="11"/>
      <c r="D52" s="11"/>
      <c r="E52" s="11"/>
    </row>
    <row r="53" spans="2:5" x14ac:dyDescent="0.2">
      <c r="B53" s="11"/>
      <c r="C53" s="11"/>
      <c r="D53" s="11"/>
      <c r="E53" s="11"/>
    </row>
    <row r="54" spans="2:5" x14ac:dyDescent="0.2">
      <c r="B54" s="11"/>
      <c r="C54" s="11"/>
      <c r="D54" s="11"/>
      <c r="E54" s="11"/>
    </row>
    <row r="55" spans="2:5" x14ac:dyDescent="0.2">
      <c r="B55" s="11"/>
      <c r="C55" s="11"/>
      <c r="D55" s="11"/>
      <c r="E55" s="11"/>
    </row>
    <row r="56" spans="2:5" x14ac:dyDescent="0.2">
      <c r="B56" s="11"/>
      <c r="C56" s="11"/>
      <c r="D56" s="11"/>
      <c r="E56" s="11"/>
    </row>
    <row r="57" spans="2:5" x14ac:dyDescent="0.2">
      <c r="B57" s="11"/>
      <c r="C57" s="11"/>
      <c r="D57" s="11"/>
      <c r="E57" s="11"/>
    </row>
    <row r="58" spans="2:5" x14ac:dyDescent="0.2">
      <c r="B58" s="11"/>
      <c r="C58" s="11"/>
      <c r="D58" s="11"/>
      <c r="E58" s="11"/>
    </row>
    <row r="59" spans="2:5" x14ac:dyDescent="0.2">
      <c r="B59" s="11"/>
      <c r="C59" s="11"/>
      <c r="D59" s="11"/>
      <c r="E59" s="11"/>
    </row>
    <row r="60" spans="2:5" x14ac:dyDescent="0.2">
      <c r="B60" s="11"/>
      <c r="C60" s="11"/>
      <c r="D60" s="11"/>
      <c r="E60" s="11"/>
    </row>
    <row r="61" spans="2:5" x14ac:dyDescent="0.2">
      <c r="B61" s="11"/>
      <c r="C61" s="11"/>
      <c r="D61" s="11"/>
      <c r="E61" s="11"/>
    </row>
    <row r="62" spans="2:5" x14ac:dyDescent="0.2">
      <c r="B62" s="11"/>
      <c r="C62" s="11"/>
      <c r="D62" s="11"/>
      <c r="E62" s="11"/>
    </row>
    <row r="63" spans="2:5" x14ac:dyDescent="0.2">
      <c r="B63" s="11"/>
      <c r="C63" s="11"/>
      <c r="D63" s="11"/>
      <c r="E63" s="11"/>
    </row>
    <row r="64" spans="2:5" x14ac:dyDescent="0.2">
      <c r="B64" s="11"/>
      <c r="C64" s="11"/>
      <c r="D64" s="11"/>
      <c r="E64" s="11"/>
    </row>
    <row r="65" spans="2:5" x14ac:dyDescent="0.2">
      <c r="B65" s="11"/>
      <c r="C65" s="11"/>
      <c r="D65" s="11"/>
      <c r="E65" s="11"/>
    </row>
    <row r="66" spans="2:5" x14ac:dyDescent="0.2">
      <c r="B66" s="11"/>
      <c r="C66" s="11"/>
      <c r="D66" s="11"/>
      <c r="E66" s="11"/>
    </row>
    <row r="67" spans="2:5" x14ac:dyDescent="0.2">
      <c r="B67" s="11"/>
      <c r="C67" s="11"/>
      <c r="D67" s="11"/>
      <c r="E67" s="11"/>
    </row>
    <row r="68" spans="2:5" x14ac:dyDescent="0.2">
      <c r="B68" s="11"/>
      <c r="C68" s="11"/>
      <c r="D68" s="11"/>
      <c r="E68" s="11"/>
    </row>
    <row r="69" spans="2:5" x14ac:dyDescent="0.2">
      <c r="B69" s="11"/>
      <c r="C69" s="11"/>
      <c r="D69" s="11"/>
      <c r="E69" s="11"/>
    </row>
    <row r="70" spans="2:5" x14ac:dyDescent="0.2">
      <c r="B70" s="11"/>
      <c r="C70" s="11"/>
      <c r="D70" s="11"/>
      <c r="E70" s="11"/>
    </row>
    <row r="71" spans="2:5" x14ac:dyDescent="0.2">
      <c r="B71" s="11"/>
      <c r="C71" s="11"/>
      <c r="D71" s="11"/>
      <c r="E71" s="11"/>
    </row>
    <row r="72" spans="2:5" x14ac:dyDescent="0.2">
      <c r="B72" s="11"/>
      <c r="C72" s="11"/>
      <c r="D72" s="11"/>
      <c r="E72" s="11"/>
    </row>
    <row r="73" spans="2:5" x14ac:dyDescent="0.2">
      <c r="B73" s="11"/>
      <c r="C73" s="11"/>
      <c r="D73" s="11"/>
      <c r="E73" s="11"/>
    </row>
    <row r="74" spans="2:5" x14ac:dyDescent="0.2">
      <c r="B74" s="11"/>
      <c r="C74" s="11"/>
      <c r="D74" s="11"/>
      <c r="E74" s="11"/>
    </row>
    <row r="75" spans="2:5" x14ac:dyDescent="0.2">
      <c r="B75" s="11"/>
      <c r="C75" s="11"/>
      <c r="D75" s="11"/>
      <c r="E75" s="11"/>
    </row>
    <row r="76" spans="2:5" x14ac:dyDescent="0.2">
      <c r="B76" s="11"/>
      <c r="C76" s="11"/>
      <c r="D76" s="11"/>
      <c r="E76" s="11"/>
    </row>
    <row r="77" spans="2:5" x14ac:dyDescent="0.2">
      <c r="B77" s="11"/>
      <c r="C77" s="11"/>
      <c r="D77" s="11"/>
      <c r="E77" s="11"/>
    </row>
    <row r="78" spans="2:5" x14ac:dyDescent="0.2">
      <c r="B78" s="11"/>
      <c r="C78" s="11"/>
      <c r="D78" s="11"/>
      <c r="E78" s="11"/>
    </row>
    <row r="79" spans="2:5" x14ac:dyDescent="0.2">
      <c r="B79" s="11"/>
      <c r="C79" s="11"/>
      <c r="D79" s="11"/>
      <c r="E79" s="11"/>
    </row>
    <row r="80" spans="2:5" x14ac:dyDescent="0.2">
      <c r="B80" s="11"/>
      <c r="C80" s="11"/>
      <c r="D80" s="11"/>
      <c r="E80" s="11"/>
    </row>
    <row r="81" spans="2:5" x14ac:dyDescent="0.2">
      <c r="B81" s="11"/>
      <c r="C81" s="11"/>
      <c r="D81" s="11"/>
      <c r="E81" s="11"/>
    </row>
    <row r="82" spans="2:5" x14ac:dyDescent="0.2">
      <c r="B82" s="11"/>
      <c r="C82" s="11"/>
      <c r="D82" s="11"/>
      <c r="E82" s="11"/>
    </row>
    <row r="83" spans="2:5" x14ac:dyDescent="0.2">
      <c r="B83" s="11"/>
      <c r="C83" s="11"/>
      <c r="D83" s="11"/>
      <c r="E83" s="11"/>
    </row>
    <row r="84" spans="2:5" x14ac:dyDescent="0.2">
      <c r="B84" s="11"/>
      <c r="C84" s="11"/>
      <c r="D84" s="11"/>
      <c r="E84" s="11"/>
    </row>
    <row r="85" spans="2:5" x14ac:dyDescent="0.2">
      <c r="B85" s="11"/>
      <c r="C85" s="11"/>
      <c r="D85" s="11"/>
      <c r="E85" s="11"/>
    </row>
    <row r="86" spans="2:5" x14ac:dyDescent="0.2">
      <c r="B86" s="11"/>
      <c r="C86" s="11"/>
      <c r="D86" s="11"/>
      <c r="E86" s="11"/>
    </row>
    <row r="87" spans="2:5" x14ac:dyDescent="0.2">
      <c r="B87" s="11"/>
      <c r="C87" s="11"/>
      <c r="D87" s="11"/>
      <c r="E87" s="11"/>
    </row>
    <row r="88" spans="2:5" x14ac:dyDescent="0.2">
      <c r="B88" s="11"/>
      <c r="C88" s="11"/>
      <c r="D88" s="11"/>
      <c r="E88" s="11"/>
    </row>
    <row r="89" spans="2:5" x14ac:dyDescent="0.2">
      <c r="B89" s="11"/>
      <c r="C89" s="11"/>
      <c r="D89" s="11"/>
      <c r="E89" s="11"/>
    </row>
    <row r="90" spans="2:5" x14ac:dyDescent="0.2">
      <c r="B90" s="11"/>
      <c r="C90" s="11"/>
      <c r="D90" s="11"/>
      <c r="E90" s="11"/>
    </row>
    <row r="91" spans="2:5" x14ac:dyDescent="0.2">
      <c r="B91" s="11"/>
      <c r="C91" s="11"/>
      <c r="D91" s="11"/>
      <c r="E91" s="11"/>
    </row>
    <row r="92" spans="2:5" x14ac:dyDescent="0.2">
      <c r="B92" s="11"/>
      <c r="C92" s="11"/>
      <c r="D92" s="11"/>
      <c r="E92" s="11"/>
    </row>
    <row r="93" spans="2:5" x14ac:dyDescent="0.2">
      <c r="B93" s="11"/>
      <c r="C93" s="11"/>
      <c r="D93" s="11"/>
      <c r="E93" s="11"/>
    </row>
    <row r="94" spans="2:5" x14ac:dyDescent="0.2">
      <c r="B94" s="11"/>
      <c r="C94" s="11"/>
      <c r="D94" s="11"/>
      <c r="E94" s="11"/>
    </row>
    <row r="95" spans="2:5" x14ac:dyDescent="0.2">
      <c r="B95" s="11"/>
      <c r="C95" s="11"/>
      <c r="D95" s="11"/>
      <c r="E95" s="11"/>
    </row>
  </sheetData>
  <mergeCells count="5">
    <mergeCell ref="A46:F46"/>
    <mergeCell ref="A47:F47"/>
    <mergeCell ref="A31:F31"/>
    <mergeCell ref="A42:F42"/>
    <mergeCell ref="A43:F43"/>
  </mergeCells>
  <pageMargins left="0.70866141732283472" right="0.70866141732283472" top="0.74803149606299213" bottom="0.74803149606299213" header="0.31496062992125984" footer="0.31496062992125984"/>
  <pageSetup paperSize="9" orientation="portrait" r:id="rId1"/>
  <headerFooter>
    <oddHeader>&amp;R&amp;G</oddHeader>
    <oddFooter>&amp;L&amp;9Concept jaarrekening 2021&amp;C&amp;9Versie: 23-2-2022&amp;R&amp;9- &amp;P -</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768A080C3739469FE7FB4972426C3B" ma:contentTypeVersion="13" ma:contentTypeDescription="Een nieuw document maken." ma:contentTypeScope="" ma:versionID="77016ab7f97d4d6d60e74a4b67e6a6f3">
  <xsd:schema xmlns:xsd="http://www.w3.org/2001/XMLSchema" xmlns:xs="http://www.w3.org/2001/XMLSchema" xmlns:p="http://schemas.microsoft.com/office/2006/metadata/properties" xmlns:ns2="b9a1a5cb-f618-4f53-b182-c444f2ceaecd" xmlns:ns3="ec5e69af-7392-4b9b-be92-39e8e642d42a" targetNamespace="http://schemas.microsoft.com/office/2006/metadata/properties" ma:root="true" ma:fieldsID="17fedbac832504411e826e03561e1aa0" ns2:_="" ns3:_="">
    <xsd:import namespace="b9a1a5cb-f618-4f53-b182-c444f2ceaecd"/>
    <xsd:import namespace="ec5e69af-7392-4b9b-be92-39e8e642d42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Location"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a1a5cb-f618-4f53-b182-c444f2ceae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a825df3f-f318-416a-9d23-8abdfb30a09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c5e69af-7392-4b9b-be92-39e8e642d42a"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56bd815b-020d-4d99-8773-95512a4efa4e}" ma:internalName="TaxCatchAll" ma:showField="CatchAllData" ma:web="ec5e69af-7392-4b9b-be92-39e8e642d4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a1a5cb-f618-4f53-b182-c444f2ceaecd">
      <Terms xmlns="http://schemas.microsoft.com/office/infopath/2007/PartnerControls"/>
    </lcf76f155ced4ddcb4097134ff3c332f>
    <TaxCatchAll xmlns="ec5e69af-7392-4b9b-be92-39e8e642d42a" xsi:nil="true"/>
  </documentManagement>
</p:properties>
</file>

<file path=customXml/itemProps1.xml><?xml version="1.0" encoding="utf-8"?>
<ds:datastoreItem xmlns:ds="http://schemas.openxmlformats.org/officeDocument/2006/customXml" ds:itemID="{D9977C0A-B7B4-4752-A871-FDC19A9AD7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a1a5cb-f618-4f53-b182-c444f2ceaecd"/>
    <ds:schemaRef ds:uri="ec5e69af-7392-4b9b-be92-39e8e642d4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CA7ABF-940C-4871-8530-B3B2058B2B7A}">
  <ds:schemaRefs>
    <ds:schemaRef ds:uri="http://schemas.microsoft.com/sharepoint/v3/contenttype/forms"/>
  </ds:schemaRefs>
</ds:datastoreItem>
</file>

<file path=customXml/itemProps3.xml><?xml version="1.0" encoding="utf-8"?>
<ds:datastoreItem xmlns:ds="http://schemas.openxmlformats.org/officeDocument/2006/customXml" ds:itemID="{D5099EC8-2491-4EF7-9BAE-1D1B9ABACF5D}">
  <ds:schemaRefs>
    <ds:schemaRef ds:uri="http://schemas.microsoft.com/office/2006/metadata/properties"/>
    <ds:schemaRef ds:uri="http://schemas.microsoft.com/office/infopath/2007/PartnerControls"/>
    <ds:schemaRef ds:uri="b9a1a5cb-f618-4f53-b182-c444f2ceaecd"/>
    <ds:schemaRef ds:uri="ec5e69af-7392-4b9b-be92-39e8e642d4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19</vt:i4>
      </vt:variant>
      <vt:variant>
        <vt:lpstr>Benoemde bereiken</vt:lpstr>
      </vt:variant>
      <vt:variant>
        <vt:i4>4</vt:i4>
      </vt:variant>
    </vt:vector>
  </HeadingPairs>
  <TitlesOfParts>
    <vt:vector size="23" baseType="lpstr">
      <vt:lpstr>Actiepunten</vt:lpstr>
      <vt:lpstr>Algemene gegevens</vt:lpstr>
      <vt:lpstr>Voorblad</vt:lpstr>
      <vt:lpstr>Inhoudsopgave</vt:lpstr>
      <vt:lpstr>Jaarverslag</vt:lpstr>
      <vt:lpstr>Waarderingsgrondslagen</vt:lpstr>
      <vt:lpstr>Balans</vt:lpstr>
      <vt:lpstr>Staat van baten en lasten</vt:lpstr>
      <vt:lpstr>Kasstroomoverzicht</vt:lpstr>
      <vt:lpstr>Toelichting balans</vt:lpstr>
      <vt:lpstr>Toelichting baten-lasten</vt:lpstr>
      <vt:lpstr>Kengetallen bij de jaarrekening</vt:lpstr>
      <vt:lpstr>Verslag kascontrolecommissie</vt:lpstr>
      <vt:lpstr>Tabel jaarrekening grootboek</vt:lpstr>
      <vt:lpstr>Tabel jaarrek grootboek t-1</vt:lpstr>
      <vt:lpstr>Tabel jaarrekening subverdichti</vt:lpstr>
      <vt:lpstr>Tabel jaarrekening hoofdverdich</vt:lpstr>
      <vt:lpstr>Subverdichting</vt:lpstr>
      <vt:lpstr>Hoofdverdichting</vt:lpstr>
      <vt:lpstr>'Toelichting baten-lasten'!Afdruktitels</vt:lpstr>
      <vt:lpstr>datumjr</vt:lpstr>
      <vt:lpstr>omschrijving</vt:lpstr>
      <vt:lpstr>verslagjaar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dc:creator>
  <cp:lastModifiedBy>Mariët Apperloo</cp:lastModifiedBy>
  <cp:lastPrinted>2022-06-29T09:08:52Z</cp:lastPrinted>
  <dcterms:created xsi:type="dcterms:W3CDTF">2017-02-13T08:10:14Z</dcterms:created>
  <dcterms:modified xsi:type="dcterms:W3CDTF">2022-12-22T15:45:21Z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0x01010013768A080C3739469FE7FB4972426C3B</vt:lpwstr>
  </property>
  <property fmtid="{D5CDD505-2E9C-101B-9397-08002B2CF9AE}" pid="3" name="MediaServiceImageTags">
    <vt:lpwstr/>
  </property>
</Properties>
</file>