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Predikanten/Materiële regelingen/MRP 2025/"/>
    </mc:Choice>
  </mc:AlternateContent>
  <xr:revisionPtr revIDLastSave="23" documentId="8_{E25C91CC-3BCF-4817-A3AA-F47FD12CA856}" xr6:coauthVersionLast="47" xr6:coauthVersionMax="47" xr10:uidLastSave="{D6FD6212-EAC2-49FC-BB53-4F796869F6F1}"/>
  <bookViews>
    <workbookView xWindow="-108" yWindow="-108" windowWidth="23256" windowHeight="12456" xr2:uid="{00000000-000D-0000-FFFF-FFFF00000000}"/>
  </bookViews>
  <sheets>
    <sheet name="Rekenmodel 2025" sheetId="1" r:id="rId1"/>
    <sheet name="Berekeningen" sheetId="4" r:id="rId2"/>
    <sheet name="Traktementstabel 2025" sheetId="2" r:id="rId3"/>
  </sheets>
  <definedNames>
    <definedName name="_xlnm.Print_Area" localSheetId="0">'Rekenmodel 2025'!$A$1:$C$60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7" i="1"/>
  <c r="B23" i="1"/>
  <c r="C31" i="1"/>
  <c r="C35" i="1" l="1"/>
  <c r="C19" i="4"/>
  <c r="C44" i="1" l="1"/>
  <c r="B44" i="1" s="1"/>
  <c r="C33" i="1"/>
  <c r="B33" i="1" s="1"/>
  <c r="C17" i="4"/>
  <c r="B26" i="1"/>
  <c r="C10" i="4"/>
  <c r="C36" i="4"/>
  <c r="C23" i="4"/>
  <c r="C41" i="1"/>
  <c r="B41" i="1" s="1"/>
  <c r="C42" i="1" l="1"/>
  <c r="B42" i="1" s="1"/>
  <c r="C32" i="1"/>
  <c r="C21" i="4"/>
  <c r="B25" i="1"/>
  <c r="B31" i="1" l="1"/>
  <c r="B46" i="1"/>
  <c r="B48" i="1" l="1"/>
  <c r="B49" i="1" s="1"/>
  <c r="C34" i="1" l="1"/>
  <c r="B34" i="1" s="1"/>
  <c r="B32" i="1"/>
  <c r="B35" i="1" l="1"/>
  <c r="C28" i="1"/>
  <c r="C9" i="4" s="1"/>
  <c r="C11" i="4" s="1"/>
  <c r="C18" i="4" l="1"/>
  <c r="B28" i="1"/>
  <c r="C43" i="1" l="1"/>
  <c r="B43" i="1" s="1"/>
  <c r="B45" i="1" s="1"/>
  <c r="C25" i="1"/>
  <c r="C3" i="4" s="1"/>
  <c r="C37" i="1" l="1"/>
  <c r="C4" i="4"/>
  <c r="C5" i="4" s="1"/>
  <c r="C16" i="4" s="1"/>
  <c r="C20" i="4" l="1"/>
  <c r="C24" i="4" s="1"/>
  <c r="C25" i="4" s="1"/>
  <c r="C45" i="1"/>
  <c r="C27" i="1" l="1"/>
  <c r="B27" i="1" s="1"/>
  <c r="C29" i="4"/>
  <c r="C30" i="4" s="1"/>
  <c r="C29" i="1" l="1"/>
  <c r="B29" i="1" s="1"/>
  <c r="C54" i="1"/>
  <c r="C32" i="4"/>
  <c r="C30" i="1" l="1"/>
  <c r="B30" i="1" s="1"/>
  <c r="B36" i="1" s="1"/>
  <c r="C36" i="1" l="1"/>
  <c r="C38" i="1" s="1"/>
  <c r="C58" i="1" s="1"/>
  <c r="C60" i="1" s="1"/>
  <c r="C53" i="1" l="1"/>
  <c r="C55" i="1" s="1"/>
</calcChain>
</file>

<file path=xl/sharedStrings.xml><?xml version="1.0" encoding="utf-8"?>
<sst xmlns="http://schemas.openxmlformats.org/spreadsheetml/2006/main" count="170" uniqueCount="156">
  <si>
    <t>Omschrijving</t>
  </si>
  <si>
    <t>Invulveld</t>
  </si>
  <si>
    <t>Opmerking</t>
  </si>
  <si>
    <t>Naam van de predikant</t>
  </si>
  <si>
    <t>minder dan 350</t>
  </si>
  <si>
    <t>Deeltijdfactor in procenten</t>
  </si>
  <si>
    <t>ja</t>
  </si>
  <si>
    <t>Traktement volgens tabel</t>
  </si>
  <si>
    <t>Subtotaal</t>
  </si>
  <si>
    <t>Bijdrage zorgverzekering</t>
  </si>
  <si>
    <t>Vergoeding autokosten € 0,35 per km</t>
  </si>
  <si>
    <t>Vergoeding fietskosten € 0,19 per km</t>
  </si>
  <si>
    <t>Aan predikant uit te betalen bedrag</t>
  </si>
  <si>
    <t>Jaarlijks totaal uit te betalen</t>
  </si>
  <si>
    <t>- het aantal CAO-uren (regelingsuren) per week</t>
  </si>
  <si>
    <t>- het aantal contracturen per week</t>
  </si>
  <si>
    <t>- de verloonde uren per maand</t>
  </si>
  <si>
    <t>Kolom1</t>
  </si>
  <si>
    <t>a</t>
  </si>
  <si>
    <t>b</t>
  </si>
  <si>
    <t>Vakantietoeslag 8%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</si>
  <si>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</si>
  <si>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</si>
  <si>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</si>
  <si>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</si>
  <si>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</si>
  <si>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</si>
  <si>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</si>
  <si>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</si>
  <si>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</si>
  <si>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</si>
  <si>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</si>
  <si>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vanaf 350</t>
  </si>
  <si>
    <t>nee</t>
  </si>
  <si>
    <t>Aantal leden per predikant</t>
  </si>
  <si>
    <t>&lt; 350 leden</t>
  </si>
  <si>
    <t>&gt;350</t>
  </si>
  <si>
    <t>A</t>
  </si>
  <si>
    <t>B</t>
  </si>
  <si>
    <t>€</t>
  </si>
  <si>
    <t>Berekening bijdrage zorgverzekering</t>
  </si>
  <si>
    <t>Inhouding bewoning pastorie</t>
  </si>
  <si>
    <t>Extra grondslag inhouding pensioenpremie</t>
  </si>
  <si>
    <t>Berekening extra grondslag pensioenpremie i.v.m. WOZ-waarde pastorie</t>
  </si>
  <si>
    <t>Bruto traktement grondslag inhouding emeritaat (c)</t>
  </si>
  <si>
    <t>Bruto grondslag inhouding emeritaat</t>
  </si>
  <si>
    <t>Woningforfait belastingdienst ambtswoning</t>
  </si>
  <si>
    <t>k</t>
  </si>
  <si>
    <t>o</t>
  </si>
  <si>
    <t>p</t>
  </si>
  <si>
    <t>q</t>
  </si>
  <si>
    <t>r</t>
  </si>
  <si>
    <t>Maximale grondslag</t>
  </si>
  <si>
    <t>Percentages</t>
  </si>
  <si>
    <t>Zie website PFZW</t>
  </si>
  <si>
    <t>Opgave bruto grondslag pensioen</t>
  </si>
  <si>
    <t>Ingeval van pensioenvoorziening bij PFZW</t>
  </si>
  <si>
    <t>Factuur van PFZW (kerk- en predikantsdeel)</t>
  </si>
  <si>
    <t>Ingeval van emeritaatsvoorziening bij VSE</t>
  </si>
  <si>
    <t>Schatting jaarkosten</t>
  </si>
  <si>
    <t>Ambtsjaren/Trede</t>
  </si>
  <si>
    <t>s</t>
  </si>
  <si>
    <t>Berekening vergoeding studeerkamer</t>
  </si>
  <si>
    <t>Naam van de gemeente</t>
  </si>
  <si>
    <t>Info.</t>
  </si>
  <si>
    <t>TOTAAL UIT TE BETALEN AAN DE PREDIKANT</t>
  </si>
  <si>
    <t xml:space="preserve">        Franchise voltijd</t>
  </si>
  <si>
    <t xml:space="preserve">        Franchise deeltijd</t>
  </si>
  <si>
    <t>Toelichting</t>
  </si>
  <si>
    <t>Traktement, incl. deeltijdfactor</t>
  </si>
  <si>
    <t>Auto km per jaar (P.M.)</t>
  </si>
  <si>
    <t>Fiets km per jaar (P.M.)</t>
  </si>
  <si>
    <t>Persoonlijke toeslag</t>
  </si>
  <si>
    <t>Jaartraktement, rekening houdend met deeltijdpercentage</t>
  </si>
  <si>
    <t>Vergoeding eigen woning boven inhouding traktement (oud-GKv)</t>
  </si>
  <si>
    <t>Opmerkingen/extra informatie (eventueel via mail)</t>
  </si>
  <si>
    <t>Indien ja, vul dan WOZ-waarde pastorie; bij nee: vul dan de gegevens betreffende de eigenwoning in voor vergoeding studeerkamer.</t>
  </si>
  <si>
    <t>Bijv. bij overgang lagere schaal</t>
  </si>
  <si>
    <t>Bij een studeerkamer in de eigen woning bestaat recht op vergoeding: dit is per jaar WOZ-waarde x 1,2 % x 1/5 deel.</t>
  </si>
  <si>
    <t>Vergoeding ambtskosten: 50% wel- en 50% niet-afhankelijk deeltijdfactor, jaarbedrag:</t>
  </si>
  <si>
    <t>12,96 % van 12 x brutomaandtraktement (voltijd)</t>
  </si>
  <si>
    <t>40% van OP-premie PFZW</t>
  </si>
  <si>
    <t>(WOZ-waarde x perc.woningforfait x 1/5 deel)</t>
  </si>
  <si>
    <t>1/5 deel van bijtelling privégebruik woning</t>
  </si>
  <si>
    <t>Extra grondslag i.v.m. hogere woonvergoeding eigen-woning (oud-GKv)</t>
  </si>
  <si>
    <t>Berekening inhouding pensioenpremie, incl. deeltijdfactor</t>
  </si>
  <si>
    <t>t</t>
  </si>
  <si>
    <t>af: franchise (m)</t>
  </si>
  <si>
    <t>Netto grondslag inhouding emeritaat (j - k)</t>
  </si>
  <si>
    <t>Subtotaal na inhouding emeritaat (j - o)</t>
  </si>
  <si>
    <t>Grondslag bijdrage ZVW (minimum van p, r)</t>
  </si>
  <si>
    <t>Zie tabblad 'berekeningen', cel C17 naar FTE 100%</t>
  </si>
  <si>
    <t>Zie tabblad 'berekeningen', cel C18 naar FTE 100%</t>
  </si>
  <si>
    <t>Persoonlijke toeslag boven traktementstabel (vul in jaarbedrag uitbetaling)</t>
  </si>
  <si>
    <t>Extra grondslag i.v.m. hogere WOZ-waarde pastorie kerk (f)</t>
  </si>
  <si>
    <t xml:space="preserve">     Maakt de predikant gebruik van studeerkamer in eigen woning</t>
  </si>
  <si>
    <t>Bijdrage zorgverzekering over q.</t>
  </si>
  <si>
    <t>Inhouding pensioenpremie bij predikant (van n)</t>
  </si>
  <si>
    <t>(1)</t>
  </si>
  <si>
    <t>(2)</t>
  </si>
  <si>
    <t>(3)</t>
  </si>
  <si>
    <t>(4)</t>
  </si>
  <si>
    <t>Zie website belastingdienst</t>
  </si>
  <si>
    <t xml:space="preserve">     Woont de predikant in pastorie / woning van de kerk ?    (1)</t>
  </si>
  <si>
    <r>
      <t xml:space="preserve">Vul alleen de </t>
    </r>
    <r>
      <rPr>
        <b/>
        <sz val="9"/>
        <color theme="6" tint="-0.249977111117893"/>
        <rFont val="Century Gothic"/>
        <family val="2"/>
      </rPr>
      <t>groene</t>
    </r>
    <r>
      <rPr>
        <b/>
        <sz val="9"/>
        <rFont val="Century Gothic"/>
        <family val="2"/>
      </rPr>
      <t xml:space="preserve"> velden in. Met deze gegevens worden automatisch de maand- en jaarbedragen berekend. </t>
    </r>
  </si>
  <si>
    <t>km</t>
  </si>
  <si>
    <t>- voltijds persoonlijke toeslag</t>
  </si>
  <si>
    <t>- voltijds hogere WOZ-waarde ambtswoning</t>
  </si>
  <si>
    <t>- voltijds extra grondslag i.v.m. hogere woonvergoeding bij eigen woning (oud-GKv)</t>
  </si>
  <si>
    <r>
      <rPr>
        <b/>
        <sz val="12"/>
        <color theme="0"/>
        <rFont val="Century Gothic"/>
        <family val="2"/>
      </rPr>
      <t>OPGAVE voor Pensioenfonds Zorg en Welzijn</t>
    </r>
    <r>
      <rPr>
        <sz val="10"/>
        <rFont val="Century Gothic"/>
        <family val="2"/>
      </rPr>
      <t xml:space="preserve">
</t>
    </r>
    <r>
      <rPr>
        <sz val="10"/>
        <color theme="0"/>
        <rFont val="Century Gothic"/>
        <family val="2"/>
      </rPr>
      <t xml:space="preserve">De penningmeester vult voor 15 januari van het nieuwe kalenderjaar het rekenmodel en en stuurt dat digitaal naar SKW: info@steunpuntkerkenwerk.nl. Met behulp van onderstaande gegevens draagt SKW zorg voor de juiste vulling van de database van PFZW voor die NGK predikanten die bij PFZW zijn opgenomen. </t>
    </r>
  </si>
  <si>
    <t>Voltijds traktement/regelingsloon (inclusief de vakantietoeslag)</t>
  </si>
  <si>
    <t>Alleen invullen bij studeerkamer in eigen woning</t>
  </si>
  <si>
    <t>Totaal jaartraktement per jaar</t>
  </si>
  <si>
    <t>Onafhankelijk van deeltijdfactor</t>
  </si>
  <si>
    <t>Persoonlijke toeslag (jaarbedrag uitbetaling)</t>
  </si>
  <si>
    <t>maandbedrag</t>
  </si>
  <si>
    <t>jaarbedrag</t>
  </si>
  <si>
    <t>van de WOZ-waarde excl. de oppervlakte/waarde van een dergelijke kantoorruimte.</t>
  </si>
  <si>
    <t xml:space="preserve">     Jaarbedrag vergoeding eigen woning boven inhouding traktement (oud-GKv)  (2)</t>
  </si>
  <si>
    <t xml:space="preserve">Inhouding pensioen/emeritaat  </t>
  </si>
  <si>
    <t>Inhouding voor pastorie</t>
  </si>
  <si>
    <t>Vergoeding Algemene ambtskosten    (3)</t>
  </si>
  <si>
    <t>Vergoeding voor studeerkamer bij eigen woning    (4)</t>
  </si>
  <si>
    <t>Bij opgave WOZ-waarde: als de pastorie of woning een studeerkamer heeft met "eigen ingang en toilet", kunt u uitgaan</t>
  </si>
  <si>
    <t>Berekening jaartraktement met FTE%</t>
  </si>
  <si>
    <t xml:space="preserve">Bij oud-GKv-predikanten, die een eigen woning bewonen, kan het voorkomen dat de uitbetaalde woonvergoeding hoger is dan </t>
  </si>
  <si>
    <t>de standaard berekende inhouding volgens het rekenmodel traktementen.</t>
  </si>
  <si>
    <t>Hoe kan vastgesteld worden of in dergelijke gevallen de uitbetaalde woonvergoeding bovenmatig is ?</t>
  </si>
  <si>
    <t xml:space="preserve">* vul in cel B11 (woont in pastorie van de kerk): "ja"; </t>
  </si>
  <si>
    <t xml:space="preserve">   (het is de bedoeling dat dit bovenmatige deel in 4 jaar wordt afgebouwd).</t>
  </si>
  <si>
    <t xml:space="preserve">* vul in cel B11 (woont in pastorie van de kerk): "nee"; </t>
  </si>
  <si>
    <t>* vul in cel B16 de bovenmatige jaarlijkse woonvergoeding in (stel bij voorbeeldbedragen hiervoor: Eur. 1.500).</t>
  </si>
  <si>
    <t>* ga in cel C29 na wat het standaard berekend jaarbedrag is voor "inhouding pastorie"; stel Eur. 7.000;</t>
  </si>
  <si>
    <t>* stel vast wat de afgesproken jaarlijkse woonvergoeding is, stel Eur. 8.500 is; dan is Eur. 1.500 bovenmatig;</t>
  </si>
  <si>
    <t>Om het rekenmodel verder juist in te vullen:</t>
  </si>
  <si>
    <t>Zie tabblad 'berekeningen', cel C19 naar FTE 100%</t>
  </si>
  <si>
    <t>Zie cel B24 x 12 x 1,08</t>
  </si>
  <si>
    <t>Bijdrage emeritering (dit is inbegrepen in quotum en aflossing schuld van VSE)</t>
  </si>
  <si>
    <t>p.m.</t>
  </si>
  <si>
    <t>Trede traktementsschaal 2025</t>
  </si>
  <si>
    <r>
      <rPr>
        <b/>
        <sz val="12"/>
        <color theme="0"/>
        <rFont val="Century Gothic"/>
        <family val="2"/>
      </rPr>
      <t>SteunpuntKerk</t>
    </r>
    <r>
      <rPr>
        <b/>
        <i/>
        <sz val="12"/>
        <color theme="0"/>
        <rFont val="Century Gothic"/>
        <family val="2"/>
      </rPr>
      <t>en</t>
    </r>
    <r>
      <rPr>
        <b/>
        <sz val="12"/>
        <color theme="0"/>
        <rFont val="Century Gothic"/>
        <family val="2"/>
      </rPr>
      <t>Werk</t>
    </r>
    <r>
      <rPr>
        <b/>
        <sz val="10"/>
        <color theme="0"/>
        <rFont val="Century Gothic"/>
        <family val="2"/>
      </rPr>
      <t xml:space="preserve">
SKW Rekenmodel NGK traktementen en vergoedingen 2025</t>
    </r>
  </si>
  <si>
    <t>Berekeningen 2025</t>
  </si>
  <si>
    <t>Traktementstabel 2025</t>
  </si>
  <si>
    <t xml:space="preserve">       Bij 'ja' -&gt; B11; bij 'nee' -&gt; B13-B15</t>
  </si>
  <si>
    <t>Ga verder naar B17</t>
  </si>
  <si>
    <t xml:space="preserve">       Bij 'nee' -&gt; B15</t>
  </si>
  <si>
    <r>
      <t xml:space="preserve">     WOZ-waarde ambtswoning per 1-1-2023 </t>
    </r>
    <r>
      <rPr>
        <sz val="8"/>
        <rFont val="Century Gothic"/>
        <family val="2"/>
      </rPr>
      <t>(aanslag 2024)</t>
    </r>
  </si>
  <si>
    <r>
      <t xml:space="preserve">     WOZ-waarde eigen woning per 1-1-2023 </t>
    </r>
    <r>
      <rPr>
        <sz val="8"/>
        <rFont val="Century Gothic"/>
        <family val="2"/>
      </rPr>
      <t>(aanslag 2024)</t>
    </r>
  </si>
  <si>
    <t>Nadere toelichting</t>
  </si>
  <si>
    <r>
      <rPr>
        <b/>
        <sz val="8"/>
        <rFont val="Century Gothic"/>
        <family val="2"/>
      </rPr>
      <t>Overgangsregeling</t>
    </r>
    <r>
      <rPr>
        <sz val="8"/>
        <rFont val="Century Gothic"/>
        <family val="2"/>
      </rPr>
      <t xml:space="preserve">: tredes 21 t/m 26 geblokkeerd voor periodieken.
Verhoging met halve indexatie 
tot inloop in A20 en B20.
Trede 21 vervalt en wordt gelijk aan trede 20. </t>
    </r>
  </si>
  <si>
    <t>(WOZ-waarde zoals genoemd op aanslagbiljet vorig jaar)</t>
  </si>
  <si>
    <t>Zie info. belastingdienst 'woningforfait / bijtelling privégebruik woning'</t>
  </si>
  <si>
    <t>Vakantietoeslag 8%, last voor huidig jaar (Let op bij uitbetaling in mei: uitgaan van traktement juni vorig jaar t/m mei huidig jaar)</t>
  </si>
  <si>
    <t>LASTEN VOOR DE KERK</t>
  </si>
  <si>
    <t>Jaarlijks totaal uit te betalen aan predikant</t>
  </si>
  <si>
    <t xml:space="preserve">Inschaling op basis van aantal leden per predikant (zie opgave ledental van oktober 2024)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</si>
</sst>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0"/>
      <name val="Courier New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ourier New"/>
      <family val="3"/>
    </font>
    <font>
      <sz val="10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0"/>
      <color theme="0"/>
      <name val="Century Gothic"/>
      <family val="2"/>
    </font>
    <font>
      <sz val="9"/>
      <name val="Times New Roman"/>
      <family val="1"/>
    </font>
    <font>
      <sz val="10"/>
      <color theme="0"/>
      <name val="Century Gothic"/>
      <family val="2"/>
    </font>
    <font>
      <b/>
      <sz val="9"/>
      <name val="Century Gothic"/>
      <family val="2"/>
    </font>
    <font>
      <sz val="8"/>
      <name val="Courier New"/>
      <family val="3"/>
    </font>
    <font>
      <sz val="8"/>
      <name val="Century Gothic"/>
      <family val="2"/>
    </font>
    <font>
      <b/>
      <sz val="8"/>
      <color theme="0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0"/>
      <name val="Century Gothic"/>
      <family val="2"/>
    </font>
    <font>
      <b/>
      <i/>
      <sz val="12"/>
      <color theme="0"/>
      <name val="Century Gothic"/>
      <family val="2"/>
    </font>
    <font>
      <sz val="10"/>
      <name val="Arial"/>
      <family val="2"/>
    </font>
    <font>
      <b/>
      <sz val="9"/>
      <color theme="6" tint="-0.249977111117893"/>
      <name val="Century Gothic"/>
      <family val="2"/>
    </font>
    <font>
      <b/>
      <sz val="10"/>
      <color rgb="FFFFFFFF"/>
      <name val="Century Gothic"/>
      <family val="2"/>
    </font>
    <font>
      <sz val="7"/>
      <name val="Century Gothic"/>
      <family val="2"/>
    </font>
    <font>
      <sz val="7"/>
      <color theme="1"/>
      <name val="Century Gothic"/>
      <family val="2"/>
    </font>
    <font>
      <b/>
      <sz val="8"/>
      <name val="Century Gothic"/>
      <family val="2"/>
    </font>
    <font>
      <sz val="7"/>
      <name val="Times New Roman"/>
      <family val="1"/>
    </font>
    <font>
      <sz val="10"/>
      <color rgb="FFFF0000"/>
      <name val="Century Gothic"/>
      <family val="2"/>
    </font>
    <font>
      <strike/>
      <sz val="9"/>
      <name val="Century Gothic"/>
      <family val="2"/>
    </font>
    <font>
      <b/>
      <sz val="10"/>
      <color rgb="FFFF000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DC5A5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rgb="FFF8CBAD"/>
      </patternFill>
    </fill>
    <fill>
      <patternFill patternType="solid">
        <fgColor theme="5" tint="0.79998168889431442"/>
        <bgColor rgb="FFF8CBAD"/>
      </patternFill>
    </fill>
    <fill>
      <patternFill patternType="solid">
        <fgColor indexed="65"/>
        <bgColor rgb="FFF8CBAD"/>
      </patternFill>
    </fill>
    <fill>
      <patternFill patternType="solid">
        <fgColor theme="6" tint="0.39997558519241921"/>
        <bgColor rgb="FFF8CBAD"/>
      </patternFill>
    </fill>
    <fill>
      <patternFill patternType="solid">
        <fgColor theme="5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2DCDB"/>
        <bgColor indexed="64"/>
      </patternFill>
    </fill>
    <fill>
      <patternFill patternType="solid">
        <fgColor rgb="FFDA9694"/>
        <bgColor theme="0"/>
      </patternFill>
    </fill>
    <fill>
      <patternFill patternType="solid">
        <fgColor rgb="FFF2DCDB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7B003B"/>
        <bgColor theme="0"/>
      </patternFill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4">
    <xf numFmtId="0" fontId="0" fillId="0" borderId="0"/>
    <xf numFmtId="0" fontId="3" fillId="0" borderId="0"/>
    <xf numFmtId="0" fontId="19" fillId="0" borderId="0"/>
    <xf numFmtId="0" fontId="19" fillId="17" borderId="0" applyNumberFormat="0" applyFont="0" applyBorder="0" applyProtection="0"/>
  </cellStyleXfs>
  <cellXfs count="130">
    <xf numFmtId="0" fontId="0" fillId="0" borderId="0" xfId="0"/>
    <xf numFmtId="0" fontId="4" fillId="0" borderId="0" xfId="1" applyFont="1"/>
    <xf numFmtId="4" fontId="6" fillId="0" borderId="0" xfId="0" applyNumberFormat="1" applyFont="1" applyAlignment="1">
      <alignment vertical="center"/>
    </xf>
    <xf numFmtId="4" fontId="6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vertical="center"/>
    </xf>
    <xf numFmtId="4" fontId="14" fillId="2" borderId="0" xfId="0" applyNumberFormat="1" applyFont="1" applyFill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/>
    <xf numFmtId="3" fontId="6" fillId="0" borderId="0" xfId="1" applyNumberFormat="1" applyFont="1" applyAlignment="1">
      <alignment horizontal="center"/>
    </xf>
    <xf numFmtId="3" fontId="6" fillId="0" borderId="0" xfId="1" applyNumberFormat="1" applyFont="1"/>
    <xf numFmtId="0" fontId="5" fillId="0" borderId="0" xfId="1" applyFont="1" applyAlignment="1">
      <alignment horizontal="center" vertical="center" wrapText="1"/>
    </xf>
    <xf numFmtId="3" fontId="6" fillId="4" borderId="0" xfId="1" applyNumberFormat="1" applyFont="1" applyFill="1" applyAlignment="1">
      <alignment horizontal="center"/>
    </xf>
    <xf numFmtId="4" fontId="6" fillId="5" borderId="0" xfId="0" applyNumberFormat="1" applyFont="1" applyFill="1"/>
    <xf numFmtId="4" fontId="6" fillId="5" borderId="0" xfId="0" applyNumberFormat="1" applyFont="1" applyFill="1" applyAlignment="1">
      <alignment vertical="center"/>
    </xf>
    <xf numFmtId="164" fontId="6" fillId="0" borderId="0" xfId="0" applyNumberFormat="1" applyFont="1"/>
    <xf numFmtId="164" fontId="6" fillId="5" borderId="0" xfId="0" applyNumberFormat="1" applyFont="1" applyFill="1"/>
    <xf numFmtId="4" fontId="7" fillId="11" borderId="0" xfId="0" applyNumberFormat="1" applyFont="1" applyFill="1" applyAlignment="1">
      <alignment horizontal="center" vertical="center"/>
    </xf>
    <xf numFmtId="4" fontId="7" fillId="11" borderId="0" xfId="0" applyNumberFormat="1" applyFont="1" applyFill="1" applyAlignment="1">
      <alignment vertical="center"/>
    </xf>
    <xf numFmtId="4" fontId="7" fillId="11" borderId="4" xfId="0" applyNumberFormat="1" applyFont="1" applyFill="1" applyBorder="1" applyAlignment="1">
      <alignment horizontal="center" vertical="center"/>
    </xf>
    <xf numFmtId="4" fontId="11" fillId="11" borderId="0" xfId="0" applyNumberFormat="1" applyFont="1" applyFill="1" applyAlignment="1">
      <alignment vertical="center"/>
    </xf>
    <xf numFmtId="49" fontId="7" fillId="11" borderId="0" xfId="0" applyNumberFormat="1" applyFont="1" applyFill="1" applyAlignment="1">
      <alignment horizontal="center" vertical="center"/>
    </xf>
    <xf numFmtId="4" fontId="7" fillId="11" borderId="0" xfId="0" applyNumberFormat="1" applyFont="1" applyFill="1" applyAlignment="1">
      <alignment horizontal="left" vertical="center" wrapText="1"/>
    </xf>
    <xf numFmtId="4" fontId="7" fillId="13" borderId="0" xfId="0" applyNumberFormat="1" applyFont="1" applyFill="1" applyAlignment="1">
      <alignment horizontal="center" vertical="center"/>
    </xf>
    <xf numFmtId="4" fontId="11" fillId="13" borderId="0" xfId="0" applyNumberFormat="1" applyFont="1" applyFill="1" applyAlignment="1">
      <alignment vertical="center"/>
    </xf>
    <xf numFmtId="4" fontId="7" fillId="13" borderId="0" xfId="0" applyNumberFormat="1" applyFont="1" applyFill="1" applyAlignment="1">
      <alignment vertical="center"/>
    </xf>
    <xf numFmtId="4" fontId="7" fillId="14" borderId="4" xfId="0" applyNumberFormat="1" applyFont="1" applyFill="1" applyBorder="1" applyAlignment="1">
      <alignment vertical="center"/>
    </xf>
    <xf numFmtId="4" fontId="11" fillId="14" borderId="4" xfId="0" applyNumberFormat="1" applyFont="1" applyFill="1" applyBorder="1" applyAlignment="1">
      <alignment vertical="center"/>
    </xf>
    <xf numFmtId="4" fontId="16" fillId="11" borderId="2" xfId="0" applyNumberFormat="1" applyFont="1" applyFill="1" applyBorder="1" applyAlignment="1">
      <alignment vertical="center"/>
    </xf>
    <xf numFmtId="4" fontId="14" fillId="2" borderId="0" xfId="0" applyNumberFormat="1" applyFont="1" applyFill="1" applyAlignment="1">
      <alignment horizontal="right" vertical="center"/>
    </xf>
    <xf numFmtId="4" fontId="7" fillId="11" borderId="2" xfId="0" applyNumberFormat="1" applyFont="1" applyFill="1" applyBorder="1" applyAlignment="1">
      <alignment vertical="center"/>
    </xf>
    <xf numFmtId="4" fontId="13" fillId="11" borderId="0" xfId="0" applyNumberFormat="1" applyFont="1" applyFill="1" applyAlignment="1">
      <alignment vertical="center"/>
    </xf>
    <xf numFmtId="4" fontId="6" fillId="15" borderId="0" xfId="0" applyNumberFormat="1" applyFont="1" applyFill="1"/>
    <xf numFmtId="4" fontId="6" fillId="0" borderId="5" xfId="0" applyNumberFormat="1" applyFont="1" applyBorder="1"/>
    <xf numFmtId="4" fontId="6" fillId="8" borderId="5" xfId="0" applyNumberFormat="1" applyFont="1" applyFill="1" applyBorder="1" applyAlignment="1">
      <alignment horizontal="left" vertical="center" wrapText="1"/>
    </xf>
    <xf numFmtId="4" fontId="6" fillId="8" borderId="5" xfId="0" applyNumberFormat="1" applyFont="1" applyFill="1" applyBorder="1" applyAlignment="1">
      <alignment vertical="center"/>
    </xf>
    <xf numFmtId="3" fontId="6" fillId="9" borderId="5" xfId="0" applyNumberFormat="1" applyFont="1" applyFill="1" applyBorder="1" applyAlignment="1" applyProtection="1">
      <alignment vertical="center"/>
      <protection locked="0"/>
    </xf>
    <xf numFmtId="4" fontId="6" fillId="9" borderId="5" xfId="0" applyNumberFormat="1" applyFont="1" applyFill="1" applyBorder="1" applyAlignment="1" applyProtection="1">
      <alignment horizontal="left" vertical="center" wrapText="1"/>
      <protection locked="0"/>
    </xf>
    <xf numFmtId="10" fontId="6" fillId="9" borderId="5" xfId="0" applyNumberFormat="1" applyFont="1" applyFill="1" applyBorder="1" applyAlignment="1" applyProtection="1">
      <alignment vertical="center"/>
      <protection locked="0"/>
    </xf>
    <xf numFmtId="49" fontId="6" fillId="9" borderId="5" xfId="0" applyNumberFormat="1" applyFont="1" applyFill="1" applyBorder="1" applyAlignment="1" applyProtection="1">
      <alignment horizontal="right" vertical="center"/>
      <protection locked="0"/>
    </xf>
    <xf numFmtId="3" fontId="2" fillId="9" borderId="5" xfId="0" applyNumberFormat="1" applyFont="1" applyFill="1" applyBorder="1" applyAlignment="1" applyProtection="1">
      <alignment horizontal="right" vertical="center"/>
      <protection locked="0"/>
    </xf>
    <xf numFmtId="49" fontId="6" fillId="9" borderId="5" xfId="0" applyNumberFormat="1" applyFont="1" applyFill="1" applyBorder="1" applyAlignment="1" applyProtection="1">
      <alignment vertical="center"/>
      <protection locked="0"/>
    </xf>
    <xf numFmtId="4" fontId="5" fillId="11" borderId="5" xfId="0" applyNumberFormat="1" applyFont="1" applyFill="1" applyBorder="1" applyAlignment="1">
      <alignment vertical="center"/>
    </xf>
    <xf numFmtId="4" fontId="6" fillId="11" borderId="5" xfId="0" applyNumberFormat="1" applyFont="1" applyFill="1" applyBorder="1" applyAlignment="1">
      <alignment vertical="center"/>
    </xf>
    <xf numFmtId="4" fontId="6" fillId="11" borderId="5" xfId="0" applyNumberFormat="1" applyFont="1" applyFill="1" applyBorder="1" applyAlignment="1">
      <alignment vertical="center" wrapText="1"/>
    </xf>
    <xf numFmtId="4" fontId="5" fillId="11" borderId="5" xfId="0" applyNumberFormat="1" applyFont="1" applyFill="1" applyBorder="1"/>
    <xf numFmtId="49" fontId="6" fillId="11" borderId="5" xfId="0" applyNumberFormat="1" applyFont="1" applyFill="1" applyBorder="1" applyAlignment="1">
      <alignment vertical="center"/>
    </xf>
    <xf numFmtId="4" fontId="13" fillId="11" borderId="5" xfId="0" applyNumberFormat="1" applyFont="1" applyFill="1" applyBorder="1" applyAlignment="1">
      <alignment vertical="center"/>
    </xf>
    <xf numFmtId="10" fontId="6" fillId="11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top" wrapText="1"/>
    </xf>
    <xf numFmtId="0" fontId="8" fillId="3" borderId="5" xfId="0" applyFont="1" applyFill="1" applyBorder="1" applyAlignment="1">
      <alignment vertical="top"/>
    </xf>
    <xf numFmtId="4" fontId="2" fillId="11" borderId="5" xfId="0" applyNumberFormat="1" applyFont="1" applyFill="1" applyBorder="1" applyAlignment="1">
      <alignment vertical="center"/>
    </xf>
    <xf numFmtId="4" fontId="15" fillId="11" borderId="5" xfId="0" applyNumberFormat="1" applyFont="1" applyFill="1" applyBorder="1" applyAlignment="1">
      <alignment vertical="center"/>
    </xf>
    <xf numFmtId="0" fontId="6" fillId="0" borderId="5" xfId="0" applyFont="1" applyBorder="1"/>
    <xf numFmtId="0" fontId="6" fillId="16" borderId="5" xfId="0" applyFont="1" applyFill="1" applyBorder="1" applyAlignment="1">
      <alignment vertical="top" wrapText="1"/>
    </xf>
    <xf numFmtId="0" fontId="21" fillId="16" borderId="5" xfId="0" applyFont="1" applyFill="1" applyBorder="1" applyAlignment="1">
      <alignment horizontal="right"/>
    </xf>
    <xf numFmtId="4" fontId="6" fillId="0" borderId="17" xfId="0" applyNumberFormat="1" applyFont="1" applyBorder="1" applyAlignment="1">
      <alignment vertical="center"/>
    </xf>
    <xf numFmtId="4" fontId="13" fillId="5" borderId="0" xfId="0" applyNumberFormat="1" applyFont="1" applyFill="1"/>
    <xf numFmtId="4" fontId="13" fillId="5" borderId="0" xfId="0" applyNumberFormat="1" applyFont="1" applyFill="1" applyAlignment="1">
      <alignment vertical="center"/>
    </xf>
    <xf numFmtId="0" fontId="17" fillId="3" borderId="19" xfId="0" applyFont="1" applyFill="1" applyBorder="1" applyAlignment="1">
      <alignment vertical="top" wrapText="1"/>
    </xf>
    <xf numFmtId="0" fontId="17" fillId="3" borderId="6" xfId="0" applyFont="1" applyFill="1" applyBorder="1" applyAlignment="1">
      <alignment vertical="top"/>
    </xf>
    <xf numFmtId="0" fontId="17" fillId="3" borderId="7" xfId="0" applyFont="1" applyFill="1" applyBorder="1" applyAlignment="1">
      <alignment vertical="top"/>
    </xf>
    <xf numFmtId="0" fontId="8" fillId="3" borderId="17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/>
    </xf>
    <xf numFmtId="4" fontId="17" fillId="10" borderId="19" xfId="0" applyNumberFormat="1" applyFont="1" applyFill="1" applyBorder="1" applyAlignment="1">
      <alignment vertical="center"/>
    </xf>
    <xf numFmtId="4" fontId="8" fillId="10" borderId="7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horizontal="right" vertical="center"/>
    </xf>
    <xf numFmtId="4" fontId="8" fillId="10" borderId="14" xfId="0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4" fontId="8" fillId="6" borderId="13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vertical="center"/>
    </xf>
    <xf numFmtId="4" fontId="7" fillId="11" borderId="20" xfId="0" applyNumberFormat="1" applyFont="1" applyFill="1" applyBorder="1" applyAlignment="1">
      <alignment vertical="center"/>
    </xf>
    <xf numFmtId="0" fontId="22" fillId="0" borderId="21" xfId="0" applyFont="1" applyBorder="1" applyAlignment="1">
      <alignment vertical="center"/>
    </xf>
    <xf numFmtId="4" fontId="7" fillId="11" borderId="21" xfId="0" applyNumberFormat="1" applyFont="1" applyFill="1" applyBorder="1" applyAlignment="1">
      <alignment vertical="center"/>
    </xf>
    <xf numFmtId="4" fontId="7" fillId="14" borderId="3" xfId="0" applyNumberFormat="1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horizontal="center" vertical="center"/>
    </xf>
    <xf numFmtId="4" fontId="7" fillId="11" borderId="1" xfId="0" applyNumberFormat="1" applyFont="1" applyFill="1" applyBorder="1" applyAlignment="1">
      <alignment vertical="center"/>
    </xf>
    <xf numFmtId="4" fontId="13" fillId="11" borderId="1" xfId="0" applyNumberFormat="1" applyFont="1" applyFill="1" applyBorder="1" applyAlignment="1">
      <alignment vertical="center"/>
    </xf>
    <xf numFmtId="4" fontId="9" fillId="0" borderId="1" xfId="0" applyNumberFormat="1" applyFont="1" applyBorder="1"/>
    <xf numFmtId="4" fontId="23" fillId="11" borderId="1" xfId="0" applyNumberFormat="1" applyFont="1" applyFill="1" applyBorder="1" applyAlignment="1">
      <alignment vertical="center"/>
    </xf>
    <xf numFmtId="4" fontId="7" fillId="5" borderId="0" xfId="0" applyNumberFormat="1" applyFont="1" applyFill="1" applyAlignment="1">
      <alignment vertical="center"/>
    </xf>
    <xf numFmtId="4" fontId="5" fillId="12" borderId="11" xfId="0" applyNumberFormat="1" applyFont="1" applyFill="1" applyBorder="1" applyAlignment="1">
      <alignment horizontal="center" vertical="center"/>
    </xf>
    <xf numFmtId="4" fontId="5" fillId="12" borderId="13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4" fontId="6" fillId="5" borderId="0" xfId="0" applyNumberFormat="1" applyFont="1" applyFill="1" applyAlignment="1">
      <alignment horizontal="left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4" fontId="6" fillId="8" borderId="18" xfId="0" applyNumberFormat="1" applyFont="1" applyFill="1" applyBorder="1" applyAlignment="1">
      <alignment vertical="center"/>
    </xf>
    <xf numFmtId="3" fontId="11" fillId="12" borderId="5" xfId="0" applyNumberFormat="1" applyFont="1" applyFill="1" applyBorder="1" applyAlignment="1">
      <alignment horizontal="center" vertical="center"/>
    </xf>
    <xf numFmtId="4" fontId="7" fillId="8" borderId="18" xfId="0" applyNumberFormat="1" applyFont="1" applyFill="1" applyBorder="1" applyAlignment="1">
      <alignment vertical="center" wrapText="1"/>
    </xf>
    <xf numFmtId="49" fontId="6" fillId="0" borderId="1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" fontId="7" fillId="8" borderId="18" xfId="0" applyNumberFormat="1" applyFont="1" applyFill="1" applyBorder="1" applyAlignment="1">
      <alignment vertical="center"/>
    </xf>
    <xf numFmtId="1" fontId="5" fillId="9" borderId="5" xfId="0" applyNumberFormat="1" applyFont="1" applyFill="1" applyBorder="1" applyAlignment="1" applyProtection="1">
      <alignment horizontal="right" vertical="center"/>
      <protection locked="0"/>
    </xf>
    <xf numFmtId="1" fontId="5" fillId="9" borderId="5" xfId="0" applyNumberFormat="1" applyFont="1" applyFill="1" applyBorder="1" applyAlignment="1" applyProtection="1">
      <alignment vertical="center"/>
      <protection locked="0"/>
    </xf>
    <xf numFmtId="4" fontId="1" fillId="11" borderId="5" xfId="0" applyNumberFormat="1" applyFont="1" applyFill="1" applyBorder="1" applyAlignment="1">
      <alignment horizontal="right" vertical="center"/>
    </xf>
    <xf numFmtId="0" fontId="24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3" fontId="13" fillId="0" borderId="0" xfId="1" applyNumberFormat="1" applyFont="1" applyAlignment="1">
      <alignment horizontal="center"/>
    </xf>
    <xf numFmtId="0" fontId="6" fillId="4" borderId="0" xfId="1" applyFont="1" applyFill="1" applyAlignment="1">
      <alignment horizontal="center"/>
    </xf>
    <xf numFmtId="0" fontId="11" fillId="0" borderId="0" xfId="1" applyFont="1" applyAlignment="1">
      <alignment horizontal="center" vertical="center" wrapText="1"/>
    </xf>
    <xf numFmtId="3" fontId="13" fillId="4" borderId="0" xfId="1" applyNumberFormat="1" applyFont="1" applyFill="1" applyAlignment="1">
      <alignment horizontal="center"/>
    </xf>
    <xf numFmtId="0" fontId="11" fillId="4" borderId="0" xfId="1" applyFont="1" applyFill="1" applyAlignment="1">
      <alignment horizontal="center" vertical="center"/>
    </xf>
    <xf numFmtId="0" fontId="25" fillId="4" borderId="0" xfId="1" applyFont="1" applyFill="1"/>
    <xf numFmtId="0" fontId="11" fillId="0" borderId="0" xfId="1" applyFont="1" applyAlignment="1">
      <alignment horizontal="center"/>
    </xf>
    <xf numFmtId="4" fontId="5" fillId="11" borderId="5" xfId="0" applyNumberFormat="1" applyFont="1" applyFill="1" applyBorder="1" applyAlignment="1">
      <alignment horizontal="right" vertical="center"/>
    </xf>
    <xf numFmtId="3" fontId="27" fillId="4" borderId="0" xfId="1" applyNumberFormat="1" applyFont="1" applyFill="1" applyAlignment="1">
      <alignment horizontal="center"/>
    </xf>
    <xf numFmtId="4" fontId="26" fillId="5" borderId="0" xfId="0" applyNumberFormat="1" applyFont="1" applyFill="1" applyAlignment="1">
      <alignment vertical="center"/>
    </xf>
    <xf numFmtId="4" fontId="6" fillId="8" borderId="14" xfId="0" applyNumberFormat="1" applyFont="1" applyFill="1" applyBorder="1" applyAlignment="1">
      <alignment vertical="center"/>
    </xf>
    <xf numFmtId="4" fontId="28" fillId="5" borderId="0" xfId="0" applyNumberFormat="1" applyFont="1" applyFill="1" applyAlignment="1">
      <alignment vertical="center"/>
    </xf>
    <xf numFmtId="4" fontId="5" fillId="12" borderId="12" xfId="0" applyNumberFormat="1" applyFont="1" applyFill="1" applyBorder="1" applyAlignment="1">
      <alignment horizontal="left" vertical="center"/>
    </xf>
    <xf numFmtId="10" fontId="11" fillId="18" borderId="0" xfId="0" applyNumberFormat="1" applyFont="1" applyFill="1" applyAlignment="1">
      <alignment vertical="center"/>
    </xf>
    <xf numFmtId="4" fontId="11" fillId="18" borderId="0" xfId="0" applyNumberFormat="1" applyFont="1" applyFill="1" applyAlignment="1">
      <alignment vertical="center"/>
    </xf>
    <xf numFmtId="10" fontId="11" fillId="19" borderId="0" xfId="0" applyNumberFormat="1" applyFont="1" applyFill="1" applyAlignment="1">
      <alignment vertical="center"/>
    </xf>
    <xf numFmtId="4" fontId="6" fillId="20" borderId="5" xfId="0" applyNumberFormat="1" applyFont="1" applyFill="1" applyBorder="1" applyAlignment="1">
      <alignment vertical="center"/>
    </xf>
    <xf numFmtId="4" fontId="11" fillId="7" borderId="11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" fontId="8" fillId="2" borderId="0" xfId="0" applyNumberFormat="1" applyFont="1" applyFill="1" applyAlignment="1">
      <alignment horizontal="center" vertical="center"/>
    </xf>
    <xf numFmtId="0" fontId="13" fillId="4" borderId="0" xfId="1" applyFont="1" applyFill="1" applyAlignment="1">
      <alignment vertical="top" wrapText="1"/>
    </xf>
    <xf numFmtId="0" fontId="0" fillId="0" borderId="0" xfId="0" applyAlignment="1">
      <alignment vertical="top"/>
    </xf>
  </cellXfs>
  <cellStyles count="4">
    <cellStyle name="Normaal" xfId="3" xr:uid="{44E09C3B-FC38-4E65-879A-C75AA3443FC7}"/>
    <cellStyle name="Normal 2" xfId="1" xr:uid="{00000000-0005-0000-0000-000000000000}"/>
    <cellStyle name="Standaard" xfId="0" builtinId="0"/>
    <cellStyle name="Standaard 3" xfId="2" xr:uid="{E28109B2-6FC0-4ED9-88BF-BDD6E22846ED}"/>
  </cellStyles>
  <dxfs count="20">
    <dxf>
      <font>
        <b val="0"/>
        <i val="0"/>
        <color theme="0"/>
      </font>
    </dxf>
    <dxf>
      <font>
        <b val="0"/>
        <i val="0"/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solid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numFmt numFmtId="164" formatCode="#,##0.0"/>
      <fill>
        <patternFill>
          <fgColor theme="0"/>
        </patternFill>
      </fill>
      <border diagonalUp="0" diagonalDown="0">
        <left/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>
          <fgColor rgb="FFF8CBA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3" formatCode="#,##0"/>
      <fill>
        <patternFill patternType="solid">
          <fgColor rgb="FFF8CBAD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>
          <fgColor rgb="FFF8CBA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FFFFFF"/>
      <color rgb="FF7B003B"/>
      <color rgb="FFF2DCDB"/>
      <color rgb="FFDA9694"/>
      <color rgb="FFF8CBAD"/>
      <color rgb="FFC0504D"/>
      <color rgb="FF000000"/>
      <color rgb="FFD84848"/>
      <color rgb="FFDC5A5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BAD272-961D-4573-BF0A-3B066DCAFBC1}" name="Tabel1" displayName="Tabel1" ref="A3:D20" totalsRowShown="0" headerRowDxfId="19" dataDxfId="18">
  <tableColumns count="4">
    <tableColumn id="1" xr3:uid="{C065C88A-4BD3-4D58-A80C-890EC9A5269B}" name="Omschrijving" dataDxfId="17"/>
    <tableColumn id="2" xr3:uid="{7EACE3D8-5AB4-4717-8AD3-96A98C9B160E}" name="Invulveld" dataDxfId="16"/>
    <tableColumn id="3" xr3:uid="{8C84DDBC-ECA9-4E7D-A9DE-3C0BA738196E}" name="Opmerking" dataDxfId="15"/>
    <tableColumn id="4" xr3:uid="{08E8A2CE-E746-489B-B686-85305CC82680}" name="Kolom1" dataDxfId="14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52769F-8B77-4629-BA4B-0949D72065A4}" name="Tabel2" displayName="Tabel2" ref="A22:C39" totalsRowShown="0" headerRowDxfId="13" dataDxfId="11" headerRowBorderDxfId="12">
  <tableColumns count="3">
    <tableColumn id="1" xr3:uid="{BF122C0C-6FB8-45D0-B631-A733E8C5583B}" name="Omschrijving" dataDxfId="10"/>
    <tableColumn id="2" xr3:uid="{A6FB7DEF-5554-4F45-9A7A-ED8A320BF537}" name="maandbedrag" dataDxfId="9"/>
    <tableColumn id="3" xr3:uid="{99FD2B0D-1B70-4156-8447-9C4F372B6F3A}" name="jaarbedrag" dataDxfId="8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1"/>
  <sheetViews>
    <sheetView showGridLines="0" tabSelected="1" zoomScale="80" zoomScaleNormal="80" workbookViewId="0">
      <pane ySplit="2" topLeftCell="A3" activePane="bottomLeft" state="frozen"/>
      <selection pane="bottomLeft" activeCell="D10" sqref="D10"/>
    </sheetView>
  </sheetViews>
  <sheetFormatPr defaultColWidth="12.69921875" defaultRowHeight="13.2" x14ac:dyDescent="0.25"/>
  <cols>
    <col min="1" max="1" width="79.09765625" style="3" bestFit="1" customWidth="1"/>
    <col min="2" max="2" width="21.5" style="3" customWidth="1"/>
    <col min="3" max="3" width="15.796875" style="3" customWidth="1"/>
    <col min="4" max="4" width="24.3984375" style="14" customWidth="1"/>
    <col min="5" max="5" width="12.69921875" style="3" customWidth="1"/>
    <col min="6" max="6" width="102.19921875" style="3" customWidth="1"/>
    <col min="7" max="7" width="13" style="3" customWidth="1"/>
    <col min="8" max="16384" width="12.69921875" style="3"/>
  </cols>
  <sheetData>
    <row r="1" spans="1:7" ht="40.5" customHeight="1" x14ac:dyDescent="0.25">
      <c r="A1" s="71" t="s">
        <v>140</v>
      </c>
      <c r="B1" s="72"/>
      <c r="C1" s="83"/>
      <c r="E1" s="84" t="s">
        <v>64</v>
      </c>
      <c r="F1" s="120" t="s">
        <v>148</v>
      </c>
      <c r="G1" s="85"/>
    </row>
    <row r="2" spans="1:7" ht="28.2" customHeight="1" x14ac:dyDescent="0.25">
      <c r="A2" s="125" t="s">
        <v>104</v>
      </c>
      <c r="B2" s="126"/>
      <c r="C2" s="83"/>
      <c r="E2" s="86" t="s">
        <v>98</v>
      </c>
      <c r="F2" s="87" t="s">
        <v>76</v>
      </c>
      <c r="G2" s="88"/>
    </row>
    <row r="3" spans="1:7" ht="17.399999999999999" customHeight="1" x14ac:dyDescent="0.25">
      <c r="A3" s="35" t="s">
        <v>0</v>
      </c>
      <c r="B3" s="35" t="s">
        <v>1</v>
      </c>
      <c r="C3" s="83" t="s">
        <v>2</v>
      </c>
      <c r="D3" s="89" t="s">
        <v>17</v>
      </c>
      <c r="E3" s="90" t="s">
        <v>99</v>
      </c>
      <c r="F3" s="91" t="s">
        <v>125</v>
      </c>
      <c r="G3" s="92"/>
    </row>
    <row r="4" spans="1:7" ht="19.8" customHeight="1" x14ac:dyDescent="0.25">
      <c r="A4" s="36" t="s">
        <v>63</v>
      </c>
      <c r="B4" s="37"/>
      <c r="C4" s="83"/>
      <c r="D4" s="15"/>
      <c r="E4" s="93"/>
      <c r="F4" s="94" t="s">
        <v>126</v>
      </c>
      <c r="G4" s="95"/>
    </row>
    <row r="5" spans="1:7" ht="19.8" customHeight="1" x14ac:dyDescent="0.25">
      <c r="A5" s="35" t="s">
        <v>3</v>
      </c>
      <c r="B5" s="38"/>
      <c r="C5" s="83"/>
      <c r="D5" s="15"/>
      <c r="E5" s="93"/>
      <c r="F5" s="94" t="s">
        <v>127</v>
      </c>
      <c r="G5" s="95"/>
    </row>
    <row r="6" spans="1:7" ht="19.8" customHeight="1" x14ac:dyDescent="0.25">
      <c r="A6" s="124" t="s">
        <v>155</v>
      </c>
      <c r="B6" s="103" t="s">
        <v>4</v>
      </c>
      <c r="C6" s="117"/>
      <c r="D6" s="15"/>
      <c r="E6" s="93"/>
      <c r="F6" s="94" t="s">
        <v>128</v>
      </c>
      <c r="G6" s="95"/>
    </row>
    <row r="7" spans="1:7" s="2" customFormat="1" ht="19.8" customHeight="1" x14ac:dyDescent="0.3">
      <c r="A7" s="36" t="s">
        <v>139</v>
      </c>
      <c r="B7" s="104">
        <v>15</v>
      </c>
      <c r="C7" s="119" t="str">
        <f>IF(B7=21,"     Trede 21 is vervallen, kies 20", "  ")</f>
        <v xml:space="preserve">  </v>
      </c>
      <c r="D7" s="15"/>
      <c r="E7" s="93"/>
      <c r="F7" s="94" t="s">
        <v>132</v>
      </c>
      <c r="G7" s="95"/>
    </row>
    <row r="8" spans="1:7" s="2" customFormat="1" ht="19.8" customHeight="1" x14ac:dyDescent="0.3">
      <c r="A8" s="36" t="s">
        <v>5</v>
      </c>
      <c r="B8" s="39">
        <v>1</v>
      </c>
      <c r="C8" s="83"/>
      <c r="D8" s="15"/>
      <c r="E8" s="93"/>
      <c r="F8" s="94" t="s">
        <v>133</v>
      </c>
      <c r="G8" s="95"/>
    </row>
    <row r="9" spans="1:7" s="2" customFormat="1" ht="19.8" customHeight="1" x14ac:dyDescent="0.3">
      <c r="A9" s="36" t="s">
        <v>93</v>
      </c>
      <c r="B9" s="37"/>
      <c r="C9" s="83" t="s">
        <v>77</v>
      </c>
      <c r="D9" s="15"/>
      <c r="E9" s="93"/>
      <c r="F9" s="94" t="s">
        <v>129</v>
      </c>
      <c r="G9" s="95"/>
    </row>
    <row r="10" spans="1:7" s="2" customFormat="1" ht="19.8" customHeight="1" x14ac:dyDescent="0.3">
      <c r="A10" s="36" t="s">
        <v>103</v>
      </c>
      <c r="B10" s="40" t="s">
        <v>33</v>
      </c>
      <c r="C10" s="83" t="s">
        <v>143</v>
      </c>
      <c r="D10" s="15"/>
      <c r="E10" s="93"/>
      <c r="F10" s="94" t="s">
        <v>134</v>
      </c>
      <c r="G10" s="95"/>
    </row>
    <row r="11" spans="1:7" s="2" customFormat="1" ht="19.8" customHeight="1" x14ac:dyDescent="0.3">
      <c r="A11" s="36" t="s">
        <v>146</v>
      </c>
      <c r="B11" s="37">
        <v>300000</v>
      </c>
      <c r="C11" s="83" t="s">
        <v>144</v>
      </c>
      <c r="D11" s="15"/>
      <c r="E11" s="93"/>
      <c r="F11" s="94" t="s">
        <v>130</v>
      </c>
      <c r="G11" s="95"/>
    </row>
    <row r="12" spans="1:7" s="2" customFormat="1" ht="19.8" customHeight="1" x14ac:dyDescent="0.3">
      <c r="A12" s="36"/>
      <c r="B12" s="36"/>
      <c r="C12" s="96"/>
      <c r="D12" s="15"/>
      <c r="E12" s="93"/>
      <c r="F12" s="94" t="s">
        <v>131</v>
      </c>
      <c r="G12" s="95"/>
    </row>
    <row r="13" spans="1:7" s="2" customFormat="1" ht="16.8" customHeight="1" x14ac:dyDescent="0.3">
      <c r="A13" s="36" t="s">
        <v>95</v>
      </c>
      <c r="B13" s="41" t="s">
        <v>6</v>
      </c>
      <c r="C13" s="98" t="s">
        <v>145</v>
      </c>
      <c r="D13" s="15"/>
      <c r="E13" s="86" t="s">
        <v>100</v>
      </c>
      <c r="F13" s="87" t="s">
        <v>79</v>
      </c>
      <c r="G13" s="97">
        <v>3180</v>
      </c>
    </row>
    <row r="14" spans="1:7" s="2" customFormat="1" ht="20.399999999999999" customHeight="1" x14ac:dyDescent="0.3">
      <c r="A14" s="36" t="s">
        <v>147</v>
      </c>
      <c r="B14" s="37">
        <v>0</v>
      </c>
      <c r="C14" s="102" t="s">
        <v>111</v>
      </c>
      <c r="D14" s="15"/>
      <c r="E14" s="99" t="s">
        <v>101</v>
      </c>
      <c r="F14" s="100" t="s">
        <v>78</v>
      </c>
      <c r="G14" s="101"/>
    </row>
    <row r="15" spans="1:7" s="2" customFormat="1" ht="19.8" customHeight="1" x14ac:dyDescent="0.3">
      <c r="A15" s="36" t="s">
        <v>118</v>
      </c>
      <c r="B15" s="37">
        <v>0</v>
      </c>
      <c r="C15" s="96"/>
      <c r="D15" s="15"/>
    </row>
    <row r="16" spans="1:7" s="2" customFormat="1" ht="19.2" customHeight="1" x14ac:dyDescent="0.3">
      <c r="A16" s="36"/>
      <c r="B16" s="36"/>
      <c r="C16" s="96"/>
      <c r="D16" s="15"/>
    </row>
    <row r="17" spans="1:4" s="2" customFormat="1" ht="20.399999999999999" customHeight="1" x14ac:dyDescent="0.3">
      <c r="A17" s="36" t="s">
        <v>70</v>
      </c>
      <c r="B17" s="37">
        <v>7</v>
      </c>
      <c r="C17" s="98" t="s">
        <v>105</v>
      </c>
      <c r="D17" s="15"/>
    </row>
    <row r="18" spans="1:4" s="2" customFormat="1" ht="19.8" customHeight="1" x14ac:dyDescent="0.3">
      <c r="A18" s="36" t="s">
        <v>71</v>
      </c>
      <c r="B18" s="37"/>
      <c r="C18" s="98" t="s">
        <v>105</v>
      </c>
      <c r="D18" s="15"/>
    </row>
    <row r="19" spans="1:4" s="2" customFormat="1" ht="19.8" customHeight="1" x14ac:dyDescent="0.3">
      <c r="A19" s="36" t="s">
        <v>75</v>
      </c>
      <c r="B19" s="42"/>
      <c r="C19" s="96"/>
      <c r="D19" s="15"/>
    </row>
    <row r="20" spans="1:4" s="2" customFormat="1" ht="19.8" customHeight="1" x14ac:dyDescent="0.3">
      <c r="A20" s="118"/>
      <c r="B20" s="44"/>
      <c r="C20" s="96"/>
      <c r="D20" s="15"/>
    </row>
    <row r="21" spans="1:4" s="2" customFormat="1" ht="19.8" customHeight="1" x14ac:dyDescent="0.3">
      <c r="A21" s="65" t="s">
        <v>65</v>
      </c>
      <c r="B21" s="70"/>
      <c r="C21" s="66"/>
      <c r="D21" s="15"/>
    </row>
    <row r="22" spans="1:4" s="2" customFormat="1" ht="19.8" customHeight="1" x14ac:dyDescent="0.25">
      <c r="A22" s="57" t="s">
        <v>0</v>
      </c>
      <c r="B22" s="68" t="s">
        <v>115</v>
      </c>
      <c r="C22" s="67" t="s">
        <v>116</v>
      </c>
      <c r="D22" s="17"/>
    </row>
    <row r="23" spans="1:4" s="16" customFormat="1" ht="19.8" customHeight="1" x14ac:dyDescent="0.25">
      <c r="A23" s="43" t="s">
        <v>7</v>
      </c>
      <c r="B23" s="115">
        <f ca="1">OFFSET('Traktementstabel 2025'!A5,B7,MATCH(B6,Berekeningen!A40:A41,0))</f>
        <v>5728</v>
      </c>
      <c r="C23" s="43"/>
      <c r="D23" s="14"/>
    </row>
    <row r="24" spans="1:4" ht="19.8" customHeight="1" x14ac:dyDescent="0.25">
      <c r="A24" s="44"/>
      <c r="B24" s="44"/>
      <c r="C24" s="44"/>
    </row>
    <row r="25" spans="1:4" ht="19.8" customHeight="1" x14ac:dyDescent="0.25">
      <c r="A25" s="44" t="s">
        <v>69</v>
      </c>
      <c r="B25" s="44">
        <f ca="1">B23*B8</f>
        <v>5728</v>
      </c>
      <c r="C25" s="44">
        <f ca="1">B25*12</f>
        <v>68736</v>
      </c>
    </row>
    <row r="26" spans="1:4" ht="19.8" customHeight="1" x14ac:dyDescent="0.25">
      <c r="A26" s="44" t="s">
        <v>72</v>
      </c>
      <c r="B26" s="44">
        <f t="shared" ref="B26:B33" si="0">C26/12</f>
        <v>0</v>
      </c>
      <c r="C26" s="44">
        <f>B9</f>
        <v>0</v>
      </c>
    </row>
    <row r="27" spans="1:4" ht="19.8" customHeight="1" x14ac:dyDescent="0.25">
      <c r="A27" s="44" t="s">
        <v>119</v>
      </c>
      <c r="B27" s="44">
        <f t="shared" ca="1" si="0"/>
        <v>-495.19</v>
      </c>
      <c r="C27" s="44">
        <f ca="1">-Berekeningen!C25</f>
        <v>-5942.24</v>
      </c>
    </row>
    <row r="28" spans="1:4" ht="19.8" customHeight="1" x14ac:dyDescent="0.25">
      <c r="A28" s="44" t="s">
        <v>120</v>
      </c>
      <c r="B28" s="44">
        <f t="shared" si="0"/>
        <v>0</v>
      </c>
      <c r="C28" s="44">
        <f>-IF(B10="ja",12.96%*12*B23,0)</f>
        <v>0</v>
      </c>
    </row>
    <row r="29" spans="1:4" ht="19.8" customHeight="1" x14ac:dyDescent="0.25">
      <c r="A29" s="43" t="s">
        <v>8</v>
      </c>
      <c r="B29" s="43">
        <f t="shared" ca="1" si="0"/>
        <v>5232.8100000000004</v>
      </c>
      <c r="C29" s="43">
        <f ca="1">SUM(C25:C28)</f>
        <v>62793.760000000002</v>
      </c>
    </row>
    <row r="30" spans="1:4" ht="19.8" customHeight="1" x14ac:dyDescent="0.25">
      <c r="A30" s="44" t="s">
        <v>9</v>
      </c>
      <c r="B30" s="44">
        <f t="shared" ca="1" si="0"/>
        <v>370.49</v>
      </c>
      <c r="C30" s="44">
        <f ca="1">Berekeningen!C32</f>
        <v>4445.8500000000004</v>
      </c>
    </row>
    <row r="31" spans="1:4" ht="19.8" customHeight="1" x14ac:dyDescent="0.25">
      <c r="A31" s="44" t="s">
        <v>121</v>
      </c>
      <c r="B31" s="44">
        <f t="shared" si="0"/>
        <v>265</v>
      </c>
      <c r="C31" s="44">
        <f>('Rekenmodel 2025'!G13*0.5)+('Rekenmodel 2025'!G13*0.5*'Rekenmodel 2025'!B8)</f>
        <v>3180</v>
      </c>
    </row>
    <row r="32" spans="1:4" ht="19.8" customHeight="1" x14ac:dyDescent="0.25">
      <c r="A32" s="44" t="s">
        <v>122</v>
      </c>
      <c r="B32" s="44">
        <f t="shared" si="0"/>
        <v>0</v>
      </c>
      <c r="C32" s="44">
        <f>Berekeningen!C36</f>
        <v>0</v>
      </c>
    </row>
    <row r="33" spans="1:4" ht="19.8" customHeight="1" x14ac:dyDescent="0.25">
      <c r="A33" s="44" t="s">
        <v>74</v>
      </c>
      <c r="B33" s="44">
        <f t="shared" si="0"/>
        <v>0</v>
      </c>
      <c r="C33" s="44">
        <f>IF(B10="nee",B15,0)</f>
        <v>0</v>
      </c>
    </row>
    <row r="34" spans="1:4" ht="19.8" customHeight="1" x14ac:dyDescent="0.25">
      <c r="A34" s="44" t="s">
        <v>10</v>
      </c>
      <c r="B34" s="44">
        <f t="shared" ref="B34:B35" si="1">C34/12</f>
        <v>0.2</v>
      </c>
      <c r="C34" s="44">
        <f>0.35*B17</f>
        <v>2.4500000000000002</v>
      </c>
    </row>
    <row r="35" spans="1:4" ht="19.8" customHeight="1" x14ac:dyDescent="0.25">
      <c r="A35" s="44" t="s">
        <v>11</v>
      </c>
      <c r="B35" s="44">
        <f t="shared" si="1"/>
        <v>0</v>
      </c>
      <c r="C35" s="44">
        <f>0.19*B18</f>
        <v>0</v>
      </c>
    </row>
    <row r="36" spans="1:4" ht="19.8" customHeight="1" x14ac:dyDescent="0.25">
      <c r="A36" s="43" t="s">
        <v>12</v>
      </c>
      <c r="B36" s="43">
        <f ca="1">SUM(B29:B35)</f>
        <v>5868.5</v>
      </c>
      <c r="C36" s="43">
        <f ca="1">SUM(C29:C35)</f>
        <v>70422.06</v>
      </c>
    </row>
    <row r="37" spans="1:4" ht="31.8" customHeight="1" x14ac:dyDescent="0.25">
      <c r="A37" s="45" t="s">
        <v>152</v>
      </c>
      <c r="B37" s="44"/>
      <c r="C37" s="44">
        <f ca="1">8%*C25</f>
        <v>5498.88</v>
      </c>
    </row>
    <row r="38" spans="1:4" ht="19.8" customHeight="1" x14ac:dyDescent="0.25">
      <c r="A38" s="46" t="s">
        <v>154</v>
      </c>
      <c r="B38" s="44"/>
      <c r="C38" s="44">
        <f ca="1">SUM(C36:C37)</f>
        <v>75920.94</v>
      </c>
    </row>
    <row r="39" spans="1:4" ht="19.8" customHeight="1" x14ac:dyDescent="0.25">
      <c r="A39" s="46"/>
      <c r="B39" s="44"/>
      <c r="C39" s="44"/>
    </row>
    <row r="40" spans="1:4" ht="77.400000000000006" customHeight="1" x14ac:dyDescent="0.25">
      <c r="A40" s="55" t="s">
        <v>109</v>
      </c>
      <c r="B40" s="56" t="s">
        <v>115</v>
      </c>
      <c r="C40" s="56" t="s">
        <v>116</v>
      </c>
      <c r="D40" s="58"/>
    </row>
    <row r="41" spans="1:4" ht="22.2" customHeight="1" x14ac:dyDescent="0.25">
      <c r="A41" s="47" t="s">
        <v>110</v>
      </c>
      <c r="B41" s="44">
        <f ca="1">C41/12</f>
        <v>6186.24</v>
      </c>
      <c r="C41" s="44">
        <f ca="1">B23*12*1.08</f>
        <v>74234.880000000005</v>
      </c>
      <c r="D41" s="59" t="s">
        <v>136</v>
      </c>
    </row>
    <row r="42" spans="1:4" ht="19.8" customHeight="1" x14ac:dyDescent="0.25">
      <c r="A42" s="47" t="s">
        <v>106</v>
      </c>
      <c r="B42" s="44">
        <f t="shared" ref="B42:B44" si="2">C42/12</f>
        <v>0</v>
      </c>
      <c r="C42" s="44">
        <f>Berekeningen!C17/'Rekenmodel 2025'!$B$8</f>
        <v>0</v>
      </c>
      <c r="D42" s="59" t="s">
        <v>91</v>
      </c>
    </row>
    <row r="43" spans="1:4" ht="19.8" customHeight="1" x14ac:dyDescent="0.25">
      <c r="A43" s="47" t="s">
        <v>107</v>
      </c>
      <c r="B43" s="44">
        <f t="shared" si="2"/>
        <v>0</v>
      </c>
      <c r="C43" s="44">
        <f>Berekeningen!C18/'Rekenmodel 2025'!$B$8</f>
        <v>0</v>
      </c>
      <c r="D43" s="59" t="s">
        <v>92</v>
      </c>
    </row>
    <row r="44" spans="1:4" ht="19.8" customHeight="1" x14ac:dyDescent="0.25">
      <c r="A44" s="47" t="s">
        <v>108</v>
      </c>
      <c r="B44" s="44">
        <f t="shared" si="2"/>
        <v>0</v>
      </c>
      <c r="C44" s="44">
        <f>Berekeningen!C19/'Rekenmodel 2025'!$B$8</f>
        <v>0</v>
      </c>
      <c r="D44" s="59" t="s">
        <v>135</v>
      </c>
    </row>
    <row r="45" spans="1:4" ht="19.8" customHeight="1" x14ac:dyDescent="0.25">
      <c r="A45" s="44" t="s">
        <v>55</v>
      </c>
      <c r="B45" s="43">
        <f ca="1">SUM(B41:B44)</f>
        <v>6186.24</v>
      </c>
      <c r="C45" s="43">
        <f ca="1">ROUNDUP(SUM(C41:C44),0)</f>
        <v>74235</v>
      </c>
      <c r="D45" s="58"/>
    </row>
    <row r="46" spans="1:4" ht="19.8" customHeight="1" x14ac:dyDescent="0.25">
      <c r="A46" s="44" t="s">
        <v>5</v>
      </c>
      <c r="B46" s="49">
        <f>B8</f>
        <v>1</v>
      </c>
      <c r="C46" s="48"/>
      <c r="D46" s="58"/>
    </row>
    <row r="47" spans="1:4" ht="19.8" customHeight="1" x14ac:dyDescent="0.25">
      <c r="A47" s="44" t="s">
        <v>14</v>
      </c>
      <c r="B47" s="44">
        <v>40</v>
      </c>
      <c r="C47" s="34"/>
      <c r="D47" s="58"/>
    </row>
    <row r="48" spans="1:4" ht="19.8" customHeight="1" x14ac:dyDescent="0.25">
      <c r="A48" s="44" t="s">
        <v>15</v>
      </c>
      <c r="B48" s="44">
        <f>B47*B8</f>
        <v>40</v>
      </c>
      <c r="C48" s="48"/>
      <c r="D48" s="58"/>
    </row>
    <row r="49" spans="1:4" ht="19.8" customHeight="1" x14ac:dyDescent="0.25">
      <c r="A49" s="44" t="s">
        <v>16</v>
      </c>
      <c r="B49" s="44">
        <f>B48*52/12</f>
        <v>173.33</v>
      </c>
      <c r="C49" s="48"/>
      <c r="D49" s="58"/>
    </row>
    <row r="50" spans="1:4" ht="19.8" customHeight="1" x14ac:dyDescent="0.25">
      <c r="A50" s="34"/>
      <c r="B50" s="34"/>
      <c r="C50" s="34"/>
      <c r="D50" s="58"/>
    </row>
    <row r="51" spans="1:4" ht="19.8" customHeight="1" x14ac:dyDescent="0.25">
      <c r="A51" s="60" t="s">
        <v>153</v>
      </c>
      <c r="B51" s="61"/>
      <c r="C51" s="62"/>
      <c r="D51" s="58"/>
    </row>
    <row r="52" spans="1:4" ht="19.8" customHeight="1" x14ac:dyDescent="0.25">
      <c r="A52" s="63" t="s">
        <v>56</v>
      </c>
      <c r="B52" s="64"/>
      <c r="C52" s="69" t="s">
        <v>116</v>
      </c>
      <c r="D52" s="58"/>
    </row>
    <row r="53" spans="1:4" ht="19.8" customHeight="1" x14ac:dyDescent="0.25">
      <c r="A53" s="44" t="s">
        <v>13</v>
      </c>
      <c r="B53" s="44"/>
      <c r="C53" s="52">
        <f ca="1">C38</f>
        <v>75920.94</v>
      </c>
      <c r="D53" s="33"/>
    </row>
    <row r="54" spans="1:4" ht="19.8" customHeight="1" x14ac:dyDescent="0.25">
      <c r="A54" s="44" t="s">
        <v>57</v>
      </c>
      <c r="B54" s="44"/>
      <c r="C54" s="52">
        <f ca="1">-C27/0.4</f>
        <v>14855.6</v>
      </c>
      <c r="D54" s="33"/>
    </row>
    <row r="55" spans="1:4" ht="19.8" customHeight="1" x14ac:dyDescent="0.25">
      <c r="A55" s="43" t="s">
        <v>59</v>
      </c>
      <c r="B55" s="44"/>
      <c r="C55" s="53">
        <f ca="1">SUM(C53:C54)</f>
        <v>90776.54</v>
      </c>
      <c r="D55" s="33"/>
    </row>
    <row r="56" spans="1:4" ht="19.8" customHeight="1" x14ac:dyDescent="0.25">
      <c r="A56" s="34"/>
      <c r="B56" s="54"/>
      <c r="C56" s="34"/>
    </row>
    <row r="57" spans="1:4" ht="39" customHeight="1" x14ac:dyDescent="0.25">
      <c r="A57" s="50" t="s">
        <v>58</v>
      </c>
      <c r="B57" s="51"/>
      <c r="C57" s="51"/>
    </row>
    <row r="58" spans="1:4" ht="19.8" customHeight="1" x14ac:dyDescent="0.25">
      <c r="A58" s="44" t="s">
        <v>13</v>
      </c>
      <c r="B58" s="44"/>
      <c r="C58" s="52">
        <f ca="1">C38</f>
        <v>75920.94</v>
      </c>
    </row>
    <row r="59" spans="1:4" ht="19.8" customHeight="1" x14ac:dyDescent="0.25">
      <c r="A59" s="44" t="s">
        <v>137</v>
      </c>
      <c r="B59" s="44"/>
      <c r="C59" s="105" t="s">
        <v>138</v>
      </c>
    </row>
    <row r="60" spans="1:4" ht="19.8" customHeight="1" x14ac:dyDescent="0.25">
      <c r="A60" s="43" t="s">
        <v>59</v>
      </c>
      <c r="B60" s="43"/>
      <c r="C60" s="53">
        <f ca="1">SUM(C58:C59)</f>
        <v>75920.94</v>
      </c>
    </row>
    <row r="61" spans="1:4" ht="19.8" customHeight="1" x14ac:dyDescent="0.25"/>
  </sheetData>
  <sheetProtection algorithmName="SHA-512" hashValue="r7MI58QW8HhAUPURVWU2XqkTrGAF0dg9Mcc7mCUUpyjvIa8tHCgSKoW/DkqXN3QQ+gwn5jXy0yPSmXurj6QIHw==" saltValue="sCfAQr5IcUlowkVwG2jX0A==" spinCount="100000" sheet="1" objects="1" scenarios="1"/>
  <dataConsolidate/>
  <mergeCells count="1">
    <mergeCell ref="A2:B2"/>
  </mergeCells>
  <phoneticPr fontId="0" type="noConversion"/>
  <conditionalFormatting sqref="B11">
    <cfRule type="expression" dxfId="7" priority="12">
      <formula>(B10="nee")</formula>
    </cfRule>
  </conditionalFormatting>
  <conditionalFormatting sqref="B13">
    <cfRule type="expression" dxfId="6" priority="7">
      <formula>(B10="ja")</formula>
    </cfRule>
  </conditionalFormatting>
  <conditionalFormatting sqref="B14">
    <cfRule type="expression" dxfId="5" priority="1">
      <formula>B13="nee"</formula>
    </cfRule>
    <cfRule type="expression" dxfId="4" priority="2">
      <formula>B13="nee"</formula>
    </cfRule>
    <cfRule type="expression" dxfId="3" priority="13">
      <formula>(B10="ja")</formula>
    </cfRule>
  </conditionalFormatting>
  <conditionalFormatting sqref="B15">
    <cfRule type="expression" dxfId="2" priority="6">
      <formula>(B10="ja")</formula>
    </cfRule>
  </conditionalFormatting>
  <conditionalFormatting sqref="C13">
    <cfRule type="expression" dxfId="1" priority="5">
      <formula>(B10="ja")</formula>
    </cfRule>
  </conditionalFormatting>
  <conditionalFormatting sqref="C14">
    <cfRule type="expression" dxfId="0" priority="4">
      <formula>B10="ja"</formula>
    </cfRule>
  </conditionalFormatting>
  <dataValidations count="3">
    <dataValidation type="whole" operator="greaterThanOrEqual" showInputMessage="1" showErrorMessage="1" sqref="B16:B18" xr:uid="{00000000-0002-0000-0000-000000000000}">
      <formula1>0</formula1>
    </dataValidation>
    <dataValidation type="whole" operator="greaterThanOrEqual" allowBlank="1" showInputMessage="1" showErrorMessage="1" sqref="C31:C33" xr:uid="{00000000-0002-0000-0000-000002000000}">
      <formula1>0</formula1>
    </dataValidation>
    <dataValidation type="decimal" allowBlank="1" showInputMessage="1" showErrorMessage="1" error="deeltijd tussen 10% en 110%" sqref="B16 C31:C33 B8" xr:uid="{00000000-0002-0000-0000-000003000000}">
      <formula1>0.1</formula1>
      <formula2>1</formula2>
    </dataValidation>
  </dataValidations>
  <pageMargins left="0.31496062992125984" right="0.11811023622047245" top="0.39370078740157483" bottom="0.39370078740157483" header="0.51181102362204722" footer="0.51181102362204722"/>
  <pageSetup paperSize="9" scale="70" orientation="portrait" r:id="rId1"/>
  <headerFooter alignWithMargins="0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Maak een keuze" error="Kies ja of nee." xr:uid="{00000000-0002-0000-0000-000001000000}">
          <x14:formula1>
            <xm:f>Berekeningen!$A$43:$A$44</xm:f>
          </x14:formula1>
          <xm:sqref>B10</xm:sqref>
        </x14:dataValidation>
        <x14:dataValidation type="list" allowBlank="1" showInputMessage="1" showErrorMessage="1" xr:uid="{0C1C98C9-DA67-457F-B726-F755311E4C66}">
          <x14:formula1>
            <xm:f>Berekeningen!$A$43:$A$44</xm:f>
          </x14:formula1>
          <xm:sqref>B13</xm:sqref>
        </x14:dataValidation>
        <x14:dataValidation type="list" allowBlank="1" showInputMessage="1" showErrorMessage="1" error="deeltijd tussen 10% en 110%" xr:uid="{85EF98B5-2C85-4092-B4F1-C9CAA6430D42}">
          <x14:formula1>
            <xm:f>Berekeningen!#REF!</xm:f>
          </x14:formula1>
          <xm:sqref>B10</xm:sqref>
        </x14:dataValidation>
        <x14:dataValidation type="list" allowBlank="1" showInputMessage="1" showErrorMessage="1" errorTitle="Maak een keuze" error="Klik op het grijze pijltje en kies de juiste optie." xr:uid="{00000000-0002-0000-0000-000005000000}">
          <x14:formula1>
            <xm:f>Berekeningen!$A$40:$A$41</xm:f>
          </x14:formula1>
          <xm:sqref>B6</xm:sqref>
        </x14:dataValidation>
        <x14:dataValidation type="list" allowBlank="1" showInputMessage="1" showErrorMessage="1" xr:uid="{00000000-0002-0000-0000-000004000000}">
          <x14:formula1>
            <xm:f>'Traktementstabel 2025'!$A$5:$A$31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workbookViewId="0">
      <selection activeCell="B30" sqref="B30"/>
    </sheetView>
  </sheetViews>
  <sheetFormatPr defaultColWidth="12.69921875" defaultRowHeight="12" x14ac:dyDescent="0.25"/>
  <cols>
    <col min="1" max="1" width="6.19921875" style="4" customWidth="1"/>
    <col min="2" max="2" width="54.19921875" style="4" customWidth="1"/>
    <col min="3" max="3" width="14" style="4" customWidth="1"/>
    <col min="4" max="4" width="9.796875" style="4" customWidth="1"/>
    <col min="5" max="5" width="41.59765625" style="4" customWidth="1"/>
    <col min="6" max="16384" width="12.69921875" style="4"/>
  </cols>
  <sheetData>
    <row r="1" spans="1:5" ht="13.8" customHeight="1" x14ac:dyDescent="0.25">
      <c r="A1" s="127" t="s">
        <v>141</v>
      </c>
      <c r="B1" s="127"/>
      <c r="C1" s="127"/>
      <c r="D1" s="30" t="s">
        <v>53</v>
      </c>
      <c r="E1" s="6" t="s">
        <v>68</v>
      </c>
    </row>
    <row r="2" spans="1:5" ht="13.8" customHeight="1" x14ac:dyDescent="0.25">
      <c r="A2" s="24"/>
      <c r="B2" s="25" t="s">
        <v>124</v>
      </c>
      <c r="C2" s="26"/>
      <c r="D2" s="19"/>
      <c r="E2" s="19"/>
    </row>
    <row r="3" spans="1:5" s="5" customFormat="1" ht="13.8" customHeight="1" x14ac:dyDescent="0.3">
      <c r="A3" s="18" t="s">
        <v>18</v>
      </c>
      <c r="B3" s="19" t="s">
        <v>73</v>
      </c>
      <c r="C3" s="19">
        <f ca="1">'Rekenmodel 2025'!C25</f>
        <v>68736</v>
      </c>
      <c r="D3" s="19"/>
      <c r="E3" s="19"/>
    </row>
    <row r="4" spans="1:5" s="5" customFormat="1" ht="13.2" x14ac:dyDescent="0.3">
      <c r="A4" s="18" t="s">
        <v>19</v>
      </c>
      <c r="B4" s="19" t="s">
        <v>20</v>
      </c>
      <c r="C4" s="19">
        <f ca="1">C3*8%</f>
        <v>5498.88</v>
      </c>
      <c r="D4" s="121">
        <v>0.08</v>
      </c>
      <c r="E4" s="19"/>
    </row>
    <row r="5" spans="1:5" s="5" customFormat="1" ht="13.8" thickBot="1" x14ac:dyDescent="0.35">
      <c r="A5" s="20" t="s">
        <v>21</v>
      </c>
      <c r="B5" s="27" t="s">
        <v>112</v>
      </c>
      <c r="C5" s="28">
        <f ca="1">C3+C4</f>
        <v>74234.880000000005</v>
      </c>
      <c r="D5" s="19"/>
      <c r="E5" s="19"/>
    </row>
    <row r="6" spans="1:5" s="5" customFormat="1" ht="13.2" x14ac:dyDescent="0.3">
      <c r="A6" s="18"/>
      <c r="B6" s="19"/>
      <c r="C6" s="19"/>
      <c r="D6" s="19"/>
      <c r="E6" s="19"/>
    </row>
    <row r="7" spans="1:5" s="5" customFormat="1" ht="13.2" x14ac:dyDescent="0.3">
      <c r="A7" s="18"/>
      <c r="B7" s="19"/>
      <c r="C7" s="19"/>
      <c r="D7" s="19"/>
      <c r="E7" s="19"/>
    </row>
    <row r="8" spans="1:5" s="5" customFormat="1" ht="13.2" x14ac:dyDescent="0.3">
      <c r="A8" s="24"/>
      <c r="B8" s="25" t="s">
        <v>43</v>
      </c>
      <c r="C8" s="26"/>
      <c r="D8" s="19"/>
      <c r="E8" s="32"/>
    </row>
    <row r="9" spans="1:5" s="5" customFormat="1" ht="13.2" x14ac:dyDescent="0.3">
      <c r="A9" s="22" t="s">
        <v>22</v>
      </c>
      <c r="B9" s="19" t="s">
        <v>41</v>
      </c>
      <c r="C9" s="19">
        <f>-'Rekenmodel 2025'!C28</f>
        <v>0</v>
      </c>
      <c r="D9" s="19"/>
      <c r="E9" s="32" t="s">
        <v>80</v>
      </c>
    </row>
    <row r="10" spans="1:5" s="5" customFormat="1" ht="13.2" x14ac:dyDescent="0.3">
      <c r="A10" s="22" t="s">
        <v>23</v>
      </c>
      <c r="B10" s="19" t="s">
        <v>46</v>
      </c>
      <c r="C10" s="19">
        <f>IF('Rekenmodel 2025'!B10="nee",0,D10*'Rekenmodel 2025'!B11)</f>
        <v>0</v>
      </c>
      <c r="D10" s="121">
        <v>1.2E-2</v>
      </c>
      <c r="E10" s="32" t="s">
        <v>151</v>
      </c>
    </row>
    <row r="11" spans="1:5" s="5" customFormat="1" ht="13.8" thickBot="1" x14ac:dyDescent="0.35">
      <c r="A11" s="20" t="s">
        <v>24</v>
      </c>
      <c r="B11" s="27" t="s">
        <v>42</v>
      </c>
      <c r="C11" s="28">
        <f>IF(C10-C9&gt;0,C10-C9,0)</f>
        <v>0</v>
      </c>
      <c r="D11" s="19"/>
      <c r="E11" s="32" t="s">
        <v>150</v>
      </c>
    </row>
    <row r="12" spans="1:5" s="5" customFormat="1" ht="13.8" thickBot="1" x14ac:dyDescent="0.35">
      <c r="A12" s="22"/>
      <c r="B12" s="73" t="s">
        <v>123</v>
      </c>
      <c r="C12" s="74"/>
      <c r="D12" s="19"/>
      <c r="E12" s="19"/>
    </row>
    <row r="13" spans="1:5" s="5" customFormat="1" ht="13.2" x14ac:dyDescent="0.3">
      <c r="A13" s="22"/>
      <c r="B13" s="75" t="s">
        <v>117</v>
      </c>
      <c r="C13" s="76"/>
      <c r="D13" s="19"/>
      <c r="E13" s="19"/>
    </row>
    <row r="14" spans="1:5" s="5" customFormat="1" ht="13.2" x14ac:dyDescent="0.3">
      <c r="A14" s="22"/>
      <c r="B14" s="19"/>
      <c r="C14" s="19"/>
      <c r="D14" s="19"/>
      <c r="E14" s="19"/>
    </row>
    <row r="15" spans="1:5" s="5" customFormat="1" ht="13.2" x14ac:dyDescent="0.3">
      <c r="A15" s="24"/>
      <c r="B15" s="25" t="s">
        <v>85</v>
      </c>
      <c r="C15" s="26"/>
      <c r="D15" s="19"/>
      <c r="E15" s="19"/>
    </row>
    <row r="16" spans="1:5" s="5" customFormat="1" ht="13.2" x14ac:dyDescent="0.3">
      <c r="A16" s="18" t="s">
        <v>25</v>
      </c>
      <c r="B16" s="19" t="s">
        <v>44</v>
      </c>
      <c r="C16" s="19">
        <f ca="1">C5</f>
        <v>74234.880000000005</v>
      </c>
      <c r="D16" s="19"/>
      <c r="E16" s="19"/>
    </row>
    <row r="17" spans="1:5" s="5" customFormat="1" ht="13.2" x14ac:dyDescent="0.3">
      <c r="A17" s="18"/>
      <c r="B17" s="19" t="s">
        <v>114</v>
      </c>
      <c r="C17" s="19">
        <f>'Rekenmodel 2025'!B9</f>
        <v>0</v>
      </c>
      <c r="D17" s="19"/>
      <c r="E17" s="19"/>
    </row>
    <row r="18" spans="1:5" s="5" customFormat="1" ht="13.2" x14ac:dyDescent="0.3">
      <c r="A18" s="18" t="s">
        <v>26</v>
      </c>
      <c r="B18" s="19" t="s">
        <v>94</v>
      </c>
      <c r="C18" s="19">
        <f>C11</f>
        <v>0</v>
      </c>
      <c r="D18" s="19"/>
      <c r="E18" s="32" t="s">
        <v>113</v>
      </c>
    </row>
    <row r="19" spans="1:5" s="5" customFormat="1" ht="13.2" x14ac:dyDescent="0.3">
      <c r="A19" s="18" t="s">
        <v>27</v>
      </c>
      <c r="B19" s="19" t="s">
        <v>84</v>
      </c>
      <c r="C19" s="19">
        <f>IF('Rekenmodel 2025'!B10="nee",'Rekenmodel 2025'!B15,0)</f>
        <v>0</v>
      </c>
      <c r="D19" s="19"/>
      <c r="E19" s="32" t="s">
        <v>113</v>
      </c>
    </row>
    <row r="20" spans="1:5" s="5" customFormat="1" ht="13.2" x14ac:dyDescent="0.3">
      <c r="A20" s="18" t="s">
        <v>28</v>
      </c>
      <c r="B20" s="19" t="s">
        <v>45</v>
      </c>
      <c r="C20" s="21">
        <f ca="1">C16+C17+C18+C19</f>
        <v>74234.880000000005</v>
      </c>
      <c r="D20" s="19"/>
      <c r="E20" s="19"/>
    </row>
    <row r="21" spans="1:5" s="5" customFormat="1" ht="13.2" x14ac:dyDescent="0.3">
      <c r="A21" s="18" t="s">
        <v>47</v>
      </c>
      <c r="B21" s="19" t="s">
        <v>87</v>
      </c>
      <c r="C21" s="19">
        <f>-C23</f>
        <v>-16655</v>
      </c>
      <c r="D21" s="19"/>
      <c r="E21" s="19"/>
    </row>
    <row r="22" spans="1:5" s="5" customFormat="1" ht="13.2" x14ac:dyDescent="0.3">
      <c r="A22" s="18" t="s">
        <v>29</v>
      </c>
      <c r="B22" s="19" t="s">
        <v>66</v>
      </c>
      <c r="C22" s="122">
        <v>16655</v>
      </c>
      <c r="D22" s="19"/>
      <c r="E22" s="19" t="s">
        <v>54</v>
      </c>
    </row>
    <row r="23" spans="1:5" s="5" customFormat="1" ht="13.2" x14ac:dyDescent="0.3">
      <c r="A23" s="18" t="s">
        <v>30</v>
      </c>
      <c r="B23" s="19" t="s">
        <v>67</v>
      </c>
      <c r="C23" s="19">
        <f>'Rekenmodel 2025'!B8*C22</f>
        <v>16655</v>
      </c>
      <c r="D23" s="19"/>
      <c r="E23" s="19"/>
    </row>
    <row r="24" spans="1:5" s="5" customFormat="1" ht="13.2" x14ac:dyDescent="0.3">
      <c r="A24" s="18" t="s">
        <v>31</v>
      </c>
      <c r="B24" s="21" t="s">
        <v>88</v>
      </c>
      <c r="C24" s="21">
        <f ca="1">C20+C21</f>
        <v>57579.88</v>
      </c>
      <c r="D24" s="19"/>
      <c r="E24" s="19"/>
    </row>
    <row r="25" spans="1:5" s="5" customFormat="1" ht="13.8" thickBot="1" x14ac:dyDescent="0.35">
      <c r="A25" s="20" t="s">
        <v>48</v>
      </c>
      <c r="B25" s="27" t="s">
        <v>97</v>
      </c>
      <c r="C25" s="28">
        <f ca="1">D25*C24</f>
        <v>5942.24</v>
      </c>
      <c r="D25" s="123">
        <v>0.1032</v>
      </c>
      <c r="E25" s="32" t="s">
        <v>81</v>
      </c>
    </row>
    <row r="26" spans="1:5" s="5" customFormat="1" ht="14.4" customHeight="1" x14ac:dyDescent="0.3">
      <c r="A26" s="18"/>
      <c r="B26" s="19"/>
      <c r="C26" s="19"/>
      <c r="D26" s="19"/>
      <c r="E26" s="19"/>
    </row>
    <row r="27" spans="1:5" s="5" customFormat="1" ht="14.4" customHeight="1" x14ac:dyDescent="0.3">
      <c r="A27" s="18"/>
      <c r="B27" s="19"/>
      <c r="C27" s="19"/>
      <c r="D27" s="19"/>
      <c r="E27" s="19"/>
    </row>
    <row r="28" spans="1:5" s="5" customFormat="1" ht="13.2" customHeight="1" x14ac:dyDescent="0.3">
      <c r="A28" s="24"/>
      <c r="B28" s="25" t="s">
        <v>40</v>
      </c>
      <c r="C28" s="26"/>
      <c r="D28" s="19"/>
      <c r="E28" s="19"/>
    </row>
    <row r="29" spans="1:5" s="5" customFormat="1" ht="13.2" customHeight="1" x14ac:dyDescent="0.3">
      <c r="A29" s="18" t="s">
        <v>49</v>
      </c>
      <c r="B29" s="19" t="s">
        <v>89</v>
      </c>
      <c r="C29" s="19">
        <f ca="1">C20-C25</f>
        <v>68292.639999999999</v>
      </c>
      <c r="D29" s="19"/>
      <c r="E29" s="19"/>
    </row>
    <row r="30" spans="1:5" s="5" customFormat="1" ht="13.2" customHeight="1" x14ac:dyDescent="0.3">
      <c r="A30" s="18" t="s">
        <v>50</v>
      </c>
      <c r="B30" s="19" t="s">
        <v>90</v>
      </c>
      <c r="C30" s="19">
        <f ca="1">MIN(C29,C31)</f>
        <v>68292.639999999999</v>
      </c>
      <c r="D30" s="19"/>
      <c r="E30" s="19"/>
    </row>
    <row r="31" spans="1:5" s="5" customFormat="1" ht="13.2" customHeight="1" x14ac:dyDescent="0.3">
      <c r="A31" s="18" t="s">
        <v>51</v>
      </c>
      <c r="B31" s="23" t="s">
        <v>52</v>
      </c>
      <c r="C31" s="122">
        <v>75864</v>
      </c>
      <c r="D31" s="19"/>
      <c r="E31" s="19" t="s">
        <v>102</v>
      </c>
    </row>
    <row r="32" spans="1:5" s="5" customFormat="1" ht="13.2" customHeight="1" thickBot="1" x14ac:dyDescent="0.35">
      <c r="A32" s="20" t="s">
        <v>61</v>
      </c>
      <c r="B32" s="27" t="s">
        <v>96</v>
      </c>
      <c r="C32" s="28">
        <f ca="1">D32*C30</f>
        <v>4445.8500000000004</v>
      </c>
      <c r="D32" s="121">
        <v>6.5100000000000005E-2</v>
      </c>
      <c r="E32" s="19"/>
    </row>
    <row r="33" spans="1:5" s="5" customFormat="1" ht="13.2" customHeight="1" x14ac:dyDescent="0.3">
      <c r="A33" s="18"/>
      <c r="B33" s="19"/>
      <c r="C33" s="19"/>
      <c r="D33" s="29"/>
      <c r="E33" s="19"/>
    </row>
    <row r="34" spans="1:5" s="5" customFormat="1" ht="13.2" customHeight="1" x14ac:dyDescent="0.3">
      <c r="A34" s="18"/>
      <c r="B34" s="19"/>
      <c r="C34" s="19"/>
      <c r="D34" s="29"/>
      <c r="E34" s="19"/>
    </row>
    <row r="35" spans="1:5" s="5" customFormat="1" ht="13.2" x14ac:dyDescent="0.3">
      <c r="A35" s="24"/>
      <c r="B35" s="25" t="s">
        <v>62</v>
      </c>
      <c r="C35" s="26"/>
      <c r="D35" s="31"/>
      <c r="E35" s="19"/>
    </row>
    <row r="36" spans="1:5" ht="13.5" customHeight="1" x14ac:dyDescent="0.25">
      <c r="A36" s="18" t="s">
        <v>86</v>
      </c>
      <c r="B36" s="77" t="s">
        <v>62</v>
      </c>
      <c r="C36" s="77">
        <f>IF(AND('Rekenmodel 2025'!B10="nee", 'Rekenmodel 2025'!B13="ja"), 'Rekenmodel 2025'!B14*D36*0.2, 0)</f>
        <v>0</v>
      </c>
      <c r="D36" s="121">
        <v>1.2E-2</v>
      </c>
      <c r="E36" s="32" t="s">
        <v>83</v>
      </c>
    </row>
    <row r="37" spans="1:5" ht="13.5" customHeight="1" x14ac:dyDescent="0.25">
      <c r="A37" s="78"/>
      <c r="B37" s="79"/>
      <c r="C37" s="79"/>
      <c r="D37" s="79"/>
      <c r="E37" s="80" t="s">
        <v>82</v>
      </c>
    </row>
    <row r="38" spans="1:5" x14ac:dyDescent="0.25">
      <c r="A38" s="81"/>
      <c r="B38" s="81"/>
      <c r="C38" s="81"/>
      <c r="D38" s="81"/>
      <c r="E38" s="81"/>
    </row>
    <row r="39" spans="1:5" x14ac:dyDescent="0.25">
      <c r="A39" s="81"/>
      <c r="B39" s="81"/>
      <c r="C39" s="81"/>
      <c r="D39" s="81"/>
      <c r="E39" s="81"/>
    </row>
    <row r="40" spans="1:5" x14ac:dyDescent="0.25">
      <c r="A40" s="82" t="s">
        <v>4</v>
      </c>
      <c r="B40" s="81"/>
      <c r="C40" s="81"/>
      <c r="D40" s="81"/>
      <c r="E40" s="81"/>
    </row>
    <row r="41" spans="1:5" x14ac:dyDescent="0.25">
      <c r="A41" s="82" t="s">
        <v>32</v>
      </c>
      <c r="B41" s="81"/>
      <c r="C41" s="81"/>
      <c r="D41" s="81"/>
      <c r="E41" s="81"/>
    </row>
    <row r="42" spans="1:5" x14ac:dyDescent="0.25">
      <c r="A42" s="82"/>
      <c r="B42" s="81"/>
      <c r="C42" s="81"/>
      <c r="D42" s="81"/>
      <c r="E42" s="81"/>
    </row>
    <row r="43" spans="1:5" x14ac:dyDescent="0.25">
      <c r="A43" s="82" t="s">
        <v>6</v>
      </c>
      <c r="B43" s="81"/>
      <c r="C43" s="81"/>
      <c r="D43" s="81"/>
      <c r="E43" s="81"/>
    </row>
    <row r="44" spans="1:5" x14ac:dyDescent="0.25">
      <c r="A44" s="82" t="s">
        <v>33</v>
      </c>
      <c r="B44" s="81"/>
      <c r="C44" s="81"/>
      <c r="D44" s="81"/>
      <c r="E44" s="81"/>
    </row>
    <row r="45" spans="1:5" x14ac:dyDescent="0.25">
      <c r="A45" s="81"/>
      <c r="B45" s="81"/>
      <c r="C45" s="81"/>
      <c r="D45" s="81"/>
      <c r="E45" s="81"/>
    </row>
  </sheetData>
  <sheetProtection algorithmName="SHA-512" hashValue="7D+ghzElEDelPqx+tw6Gz8SJVOyDrpTUfW4wd574F2MA0adRE3DdBL9v+zdoQEb5JVHGAW0Cal8Fdfev9cJdgw==" saltValue="x/Eh2VLoVfcaimdCTUu3Qw==" spinCount="100000" sheet="1" objects="1" scenarios="1"/>
  <mergeCells count="1">
    <mergeCell ref="A1:C1"/>
  </mergeCells>
  <phoneticPr fontId="12" type="noConversion"/>
  <pageMargins left="0.11811023622047245" right="0" top="0.39370078740157483" bottom="0.78740157480314965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33"/>
  <sheetViews>
    <sheetView workbookViewId="0">
      <selection activeCell="D14" sqref="D14"/>
    </sheetView>
  </sheetViews>
  <sheetFormatPr defaultColWidth="12.59765625" defaultRowHeight="13.2" x14ac:dyDescent="0.25"/>
  <cols>
    <col min="1" max="1" width="14" style="1" customWidth="1"/>
    <col min="2" max="2" width="10.59765625" style="1" customWidth="1"/>
    <col min="3" max="3" width="10.69921875" style="1" customWidth="1"/>
    <col min="4" max="4" width="25.19921875" style="1" customWidth="1"/>
    <col min="5" max="6" width="13.69921875" style="1" customWidth="1"/>
    <col min="7" max="16384" width="12.59765625" style="1"/>
  </cols>
  <sheetData>
    <row r="1" spans="1:4" ht="19.8" customHeight="1" x14ac:dyDescent="0.25">
      <c r="A1" s="113"/>
      <c r="B1" s="112" t="s">
        <v>142</v>
      </c>
      <c r="C1" s="113"/>
    </row>
    <row r="2" spans="1:4" ht="20.399999999999999" x14ac:dyDescent="0.25">
      <c r="A2" s="106" t="s">
        <v>34</v>
      </c>
      <c r="B2" s="110" t="s">
        <v>35</v>
      </c>
      <c r="C2" s="110" t="s">
        <v>36</v>
      </c>
      <c r="D2" s="106"/>
    </row>
    <row r="3" spans="1:4" x14ac:dyDescent="0.25">
      <c r="A3" s="7"/>
      <c r="B3" s="12" t="s">
        <v>37</v>
      </c>
      <c r="C3" s="12" t="s">
        <v>38</v>
      </c>
      <c r="D3" s="106"/>
    </row>
    <row r="4" spans="1:4" x14ac:dyDescent="0.25">
      <c r="A4" s="114" t="s">
        <v>60</v>
      </c>
      <c r="B4" s="8" t="s">
        <v>39</v>
      </c>
      <c r="C4" s="8" t="s">
        <v>39</v>
      </c>
      <c r="D4" s="107"/>
    </row>
    <row r="5" spans="1:4" x14ac:dyDescent="0.25">
      <c r="A5" s="8">
        <v>0</v>
      </c>
      <c r="B5" s="10">
        <v>4334</v>
      </c>
      <c r="C5" s="10">
        <v>4816</v>
      </c>
      <c r="D5" s="108"/>
    </row>
    <row r="6" spans="1:4" x14ac:dyDescent="0.25">
      <c r="A6" s="8">
        <v>1</v>
      </c>
      <c r="B6" s="10">
        <v>4392</v>
      </c>
      <c r="C6" s="10">
        <v>4935</v>
      </c>
      <c r="D6" s="108"/>
    </row>
    <row r="7" spans="1:4" x14ac:dyDescent="0.25">
      <c r="A7" s="8">
        <v>2</v>
      </c>
      <c r="B7" s="10">
        <v>4452</v>
      </c>
      <c r="C7" s="10">
        <v>5055</v>
      </c>
      <c r="D7" s="108"/>
    </row>
    <row r="8" spans="1:4" x14ac:dyDescent="0.25">
      <c r="A8" s="8">
        <v>3</v>
      </c>
      <c r="B8" s="10">
        <v>4511</v>
      </c>
      <c r="C8" s="10">
        <v>5173</v>
      </c>
      <c r="D8" s="108"/>
    </row>
    <row r="9" spans="1:4" x14ac:dyDescent="0.25">
      <c r="A9" s="8">
        <v>4</v>
      </c>
      <c r="B9" s="10">
        <v>4614</v>
      </c>
      <c r="C9" s="10">
        <v>5292</v>
      </c>
      <c r="D9" s="108"/>
    </row>
    <row r="10" spans="1:4" x14ac:dyDescent="0.25">
      <c r="A10" s="8">
        <v>5</v>
      </c>
      <c r="B10" s="10">
        <v>4715</v>
      </c>
      <c r="C10" s="10">
        <v>5412</v>
      </c>
      <c r="D10" s="108"/>
    </row>
    <row r="11" spans="1:4" x14ac:dyDescent="0.25">
      <c r="A11" s="8">
        <v>6</v>
      </c>
      <c r="B11" s="10">
        <v>4816</v>
      </c>
      <c r="C11" s="10">
        <v>5530</v>
      </c>
      <c r="D11" s="108"/>
    </row>
    <row r="12" spans="1:4" x14ac:dyDescent="0.25">
      <c r="A12" s="8">
        <v>7</v>
      </c>
      <c r="B12" s="10">
        <v>4917</v>
      </c>
      <c r="C12" s="10">
        <v>5651</v>
      </c>
      <c r="D12" s="108"/>
    </row>
    <row r="13" spans="1:4" x14ac:dyDescent="0.25">
      <c r="A13" s="8">
        <v>8</v>
      </c>
      <c r="B13" s="10">
        <v>5019</v>
      </c>
      <c r="C13" s="10">
        <v>5769</v>
      </c>
      <c r="D13" s="108"/>
    </row>
    <row r="14" spans="1:4" x14ac:dyDescent="0.25">
      <c r="A14" s="8">
        <v>9</v>
      </c>
      <c r="B14" s="10">
        <v>5119</v>
      </c>
      <c r="C14" s="10">
        <v>5890</v>
      </c>
      <c r="D14" s="108"/>
    </row>
    <row r="15" spans="1:4" x14ac:dyDescent="0.25">
      <c r="A15" s="8">
        <v>10</v>
      </c>
      <c r="B15" s="10">
        <v>5221</v>
      </c>
      <c r="C15" s="10">
        <v>6008</v>
      </c>
      <c r="D15" s="108"/>
    </row>
    <row r="16" spans="1:4" x14ac:dyDescent="0.25">
      <c r="A16" s="8">
        <v>11</v>
      </c>
      <c r="B16" s="10">
        <v>5323</v>
      </c>
      <c r="C16" s="10">
        <v>6127</v>
      </c>
      <c r="D16" s="108"/>
    </row>
    <row r="17" spans="1:4" x14ac:dyDescent="0.25">
      <c r="A17" s="8">
        <v>12</v>
      </c>
      <c r="B17" s="10">
        <v>5423</v>
      </c>
      <c r="C17" s="10">
        <v>6247</v>
      </c>
      <c r="D17" s="108"/>
    </row>
    <row r="18" spans="1:4" x14ac:dyDescent="0.25">
      <c r="A18" s="8">
        <v>13</v>
      </c>
      <c r="B18" s="10">
        <v>5525</v>
      </c>
      <c r="C18" s="10">
        <v>6366</v>
      </c>
      <c r="D18" s="108"/>
    </row>
    <row r="19" spans="1:4" x14ac:dyDescent="0.25">
      <c r="A19" s="8">
        <v>14</v>
      </c>
      <c r="B19" s="10">
        <v>5626</v>
      </c>
      <c r="C19" s="10">
        <v>6486</v>
      </c>
      <c r="D19" s="108"/>
    </row>
    <row r="20" spans="1:4" x14ac:dyDescent="0.25">
      <c r="A20" s="8">
        <v>15</v>
      </c>
      <c r="B20" s="10">
        <v>5728</v>
      </c>
      <c r="C20" s="10">
        <v>6603</v>
      </c>
      <c r="D20" s="108"/>
    </row>
    <row r="21" spans="1:4" x14ac:dyDescent="0.25">
      <c r="A21" s="8">
        <v>16</v>
      </c>
      <c r="B21" s="10">
        <v>5829</v>
      </c>
      <c r="C21" s="10">
        <v>6723</v>
      </c>
      <c r="D21" s="108"/>
    </row>
    <row r="22" spans="1:4" x14ac:dyDescent="0.25">
      <c r="A22" s="8">
        <v>17</v>
      </c>
      <c r="B22" s="10">
        <v>5931</v>
      </c>
      <c r="C22" s="10">
        <v>6842</v>
      </c>
      <c r="D22" s="108"/>
    </row>
    <row r="23" spans="1:4" x14ac:dyDescent="0.25">
      <c r="A23" s="8">
        <v>18</v>
      </c>
      <c r="B23" s="10">
        <v>6031</v>
      </c>
      <c r="C23" s="10">
        <v>6961</v>
      </c>
      <c r="D23" s="108"/>
    </row>
    <row r="24" spans="1:4" x14ac:dyDescent="0.25">
      <c r="A24" s="8">
        <v>19</v>
      </c>
      <c r="B24" s="10">
        <v>6134</v>
      </c>
      <c r="C24" s="10">
        <v>7080</v>
      </c>
      <c r="D24" s="108"/>
    </row>
    <row r="25" spans="1:4" x14ac:dyDescent="0.25">
      <c r="A25" s="8">
        <v>20</v>
      </c>
      <c r="B25" s="10">
        <v>6234</v>
      </c>
      <c r="C25" s="10">
        <v>7200</v>
      </c>
      <c r="D25" s="108"/>
    </row>
    <row r="26" spans="1:4" ht="13.8" x14ac:dyDescent="0.3">
      <c r="A26" s="109">
        <v>21</v>
      </c>
      <c r="B26" s="116">
        <v>6140</v>
      </c>
      <c r="C26" s="116">
        <v>7093</v>
      </c>
      <c r="D26" s="128" t="s">
        <v>149</v>
      </c>
    </row>
    <row r="27" spans="1:4" ht="13.2" customHeight="1" x14ac:dyDescent="0.25">
      <c r="A27" s="109">
        <v>22</v>
      </c>
      <c r="B27" s="13">
        <v>6238</v>
      </c>
      <c r="C27" s="13">
        <v>7208</v>
      </c>
      <c r="D27" s="129"/>
    </row>
    <row r="28" spans="1:4" ht="13.2" customHeight="1" x14ac:dyDescent="0.25">
      <c r="A28" s="109">
        <v>23</v>
      </c>
      <c r="B28" s="13">
        <v>6336</v>
      </c>
      <c r="C28" s="13">
        <v>7324</v>
      </c>
      <c r="D28" s="129"/>
    </row>
    <row r="29" spans="1:4" ht="13.2" customHeight="1" x14ac:dyDescent="0.25">
      <c r="A29" s="109">
        <v>24</v>
      </c>
      <c r="B29" s="111"/>
      <c r="C29" s="13">
        <v>7440</v>
      </c>
      <c r="D29" s="129"/>
    </row>
    <row r="30" spans="1:4" ht="13.05" customHeight="1" x14ac:dyDescent="0.25">
      <c r="A30" s="109">
        <v>25</v>
      </c>
      <c r="B30" s="111"/>
      <c r="C30" s="13">
        <v>7554</v>
      </c>
      <c r="D30" s="129"/>
    </row>
    <row r="31" spans="1:4" ht="13.2" customHeight="1" x14ac:dyDescent="0.25">
      <c r="A31" s="109">
        <v>26</v>
      </c>
      <c r="B31" s="111"/>
      <c r="C31" s="13">
        <v>7670</v>
      </c>
      <c r="D31" s="129"/>
    </row>
    <row r="32" spans="1:4" x14ac:dyDescent="0.25">
      <c r="A32" s="9"/>
      <c r="B32" s="9"/>
      <c r="C32" s="9"/>
      <c r="D32" s="9"/>
    </row>
    <row r="33" spans="1:4" x14ac:dyDescent="0.25">
      <c r="A33" s="9"/>
      <c r="B33" s="11"/>
      <c r="C33" s="11"/>
      <c r="D33" s="9"/>
    </row>
  </sheetData>
  <sheetProtection algorithmName="SHA-512" hashValue="2aUbTT5HiYjfPleC18YCYEJdNrznTr15pWWjdqLry+k7hpw7NoV0hQkeI8ynRjdT8Pte1vm3UgoLT8PwESP1Dw==" saltValue="ZJk8XDwTZqfODf4yIeDa6g==" spinCount="100000" sheet="1" objects="1" scenarios="1"/>
  <mergeCells count="1">
    <mergeCell ref="D26:D31"/>
  </mergeCells>
  <pageMargins left="0.55118110236220474" right="0.35433070866141736" top="0.78740157480314965" bottom="0.98425196850393704" header="0.51181102362204722" footer="0.5118110236220472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S 3 w z V 7 U 9 h m G j A A A A 9 g A A A B I A H A B D b 2 5 m a W c v U G F j a 2 F n Z S 5 4 b W w g o h g A K K A U A A A A A A A A A A A A A A A A A A A A A A A A A A A A h Y + x D o I w F E V / h X S n L X U x 5 F E H V z A m J s a 1 K R U a 4 W F o s f y b g 5 / k L 4 h R 1 M 3 x n n u G e + / X G 6 z G t o k u p n e 2 w 4 w k l J P I o O 5 K i 1 V G B n + M l 2 Q l Y a v 0 S V U m m m R 0 6 e j K j N T e n 1 P G Q g g 0 L G j X V 0 x w n r B D k e 9 0 b V p F P r L 9 L 8 c W n V e o D Z G w f 4 2 R g i a C U y E E 5 c B m C I X F r y C m v c / 2 B 8 J 6 a P z Q G 4 l N v M m B z R H Y + 4 N 8 A F B L A w Q U A A I A C A B L f D N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3 w z V y i K R 7 g O A A A A E Q A A A B M A H A B G b 3 J t d W x h c y 9 T Z W N 0 a W 9 u M S 5 t I K I Y A C i g F A A A A A A A A A A A A A A A A A A A A A A A A A A A A C t O T S 7 J z M 9 T C I b Q h t Y A U E s B A i 0 A F A A C A A g A S 3 w z V 7 U 9 h m G j A A A A 9 g A A A B I A A A A A A A A A A A A A A A A A A A A A A E N v b m Z p Z y 9 Q Y W N r Y W d l L n h t b F B L A Q I t A B Q A A g A I A E t 8 M 1 c P y u m r p A A A A O k A A A A T A A A A A A A A A A A A A A A A A O 8 A A A B b Q 2 9 u d G V u d F 9 U e X B l c 1 0 u e G 1 s U E s B A i 0 A F A A C A A g A S 3 w z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q i s Q k q 7 N h K m I f 6 3 U 3 e e 9 E A A A A A A g A A A A A A E G Y A A A A B A A A g A A A A c 3 U T 8 j v d W D 0 S s M S W D c A d E 5 E o r y s / 8 e R n Z M H a 2 e k m 0 0 0 A A A A A D o A A A A A C A A A g A A A A o q T 8 P 9 D V n E d V O c 6 c c t 5 P P + 7 m l J 3 i b K v 4 g 9 1 + i 4 q F U f h Q A A A A z S + 5 K M / z N 6 t 6 V D 6 e G 4 w t l 6 C 6 t d r 1 v p 2 J K / S M l 1 K 6 f k + W 5 7 p g N S X g + z T V w a q Q p f O t h w o 9 c Z p Y b k 4 T 4 H p Z j 7 W Q z w 3 6 l H I k W o 5 Q U g 4 K g q Q l 2 b t A A A A A / s R H u k e Y 3 1 K N 1 U w u T S m J D F w o N z U C l C T n A a z q C x p 5 V A i e d R c s e / T r J O + d I 3 m z w Y Z p x n f 8 v a F 0 / m C K t w P r w 3 x / Y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7" ma:contentTypeDescription="Een nieuw document maken." ma:contentTypeScope="" ma:versionID="46881596cb261e662792219b4fe6784b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654c007107926e93b3a72df4c0b49b5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9BA40B-CD64-459B-937F-9C7FCFFB1B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5F2C62-7AE5-4D5A-8EF8-84129AE9AC7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49C87AE-B84F-4BE1-A02F-72FDA5F1A3A8}">
  <ds:schemaRefs>
    <ds:schemaRef ds:uri="bdf8f3cc-2e16-402e-aa70-8325446701b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ec5e69af-7392-4b9b-be92-39e8e642d42a"/>
    <ds:schemaRef ds:uri="http://schemas.microsoft.com/office/infopath/2007/PartnerControls"/>
    <ds:schemaRef ds:uri="http://schemas.microsoft.com/office/2006/metadata/properties"/>
    <ds:schemaRef ds:uri="http://purl.org/dc/dcmitype/"/>
    <ds:schemaRef ds:uri="f1fd5e1d-08da-47bf-8d8e-7a436abde1e0"/>
  </ds:schemaRefs>
</ds:datastoreItem>
</file>

<file path=customXml/itemProps4.xml><?xml version="1.0" encoding="utf-8"?>
<ds:datastoreItem xmlns:ds="http://schemas.openxmlformats.org/officeDocument/2006/customXml" ds:itemID="{3A2A18DD-D0D0-4988-8FC8-C509923F3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Rekenmodel 2025</vt:lpstr>
      <vt:lpstr>Berekeningen</vt:lpstr>
      <vt:lpstr>Traktementstabel 2025</vt:lpstr>
      <vt:lpstr>'Rekenmodel 2025'!Afdrukbereik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van Rees</dc:creator>
  <cp:keywords/>
  <dc:description/>
  <cp:lastModifiedBy>Nely Visser</cp:lastModifiedBy>
  <cp:revision/>
  <cp:lastPrinted>2024-11-29T08:30:48Z</cp:lastPrinted>
  <dcterms:created xsi:type="dcterms:W3CDTF">2003-11-21T19:44:55Z</dcterms:created>
  <dcterms:modified xsi:type="dcterms:W3CDTF">2024-12-20T10:50:45Z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  <property fmtid="{D5CDD505-2E9C-101B-9397-08002B2CF9AE}" pid="3" name="MediaServiceImageTags">
    <vt:lpwstr/>
  </property>
</Properties>
</file>