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765" yWindow="330" windowWidth="11085" windowHeight="6330"/>
  </bookViews>
  <sheets>
    <sheet name="Rekenmodel" sheetId="1" r:id="rId1"/>
    <sheet name="Berekeningen" sheetId="4" r:id="rId2"/>
    <sheet name="Traktementstabel" sheetId="2" r:id="rId3"/>
  </sheets>
  <definedNames>
    <definedName name="_xlnm.Print_Area" localSheetId="0">Rekenmodel!$A$1:$D$37</definedName>
  </definedNames>
  <calcPr calcId="125725" fullPrecision="0"/>
</workbook>
</file>

<file path=xl/calcChain.xml><?xml version="1.0" encoding="utf-8"?>
<calcChain xmlns="http://schemas.openxmlformats.org/spreadsheetml/2006/main">
  <c r="B15" i="1"/>
  <c r="C35" s="1"/>
  <c r="C36"/>
  <c r="G7" i="4"/>
  <c r="C7" s="1"/>
  <c r="C12" i="1"/>
  <c r="C26"/>
  <c r="B26" s="1"/>
  <c r="C20"/>
  <c r="B20" s="1"/>
  <c r="C23"/>
  <c r="B23" s="1"/>
  <c r="C24"/>
  <c r="B24" s="1"/>
  <c r="C25"/>
  <c r="B25" s="1"/>
  <c r="C28"/>
  <c r="B28" s="1"/>
  <c r="B21"/>
  <c r="B22"/>
  <c r="C27" l="1"/>
  <c r="B27" s="1"/>
  <c r="B16"/>
  <c r="C16" l="1"/>
  <c r="C2" i="4" l="1"/>
  <c r="C30" i="1"/>
  <c r="C3" i="4" l="1"/>
  <c r="C4" s="1"/>
  <c r="C6" l="1"/>
  <c r="C8" s="1"/>
  <c r="C9" s="1"/>
  <c r="C17" i="1" s="1"/>
  <c r="C11" i="4" l="1"/>
  <c r="C12" s="1"/>
  <c r="C13" s="1"/>
  <c r="C19" i="1" s="1"/>
  <c r="B19" s="1"/>
  <c r="B17"/>
  <c r="B18" s="1"/>
  <c r="C18"/>
  <c r="C29" l="1"/>
  <c r="C31" s="1"/>
  <c r="B29"/>
</calcChain>
</file>

<file path=xl/sharedStrings.xml><?xml version="1.0" encoding="utf-8"?>
<sst xmlns="http://schemas.openxmlformats.org/spreadsheetml/2006/main" count="79" uniqueCount="73">
  <si>
    <t>Leden per predikant</t>
  </si>
  <si>
    <t>Ambtsjaren</t>
  </si>
  <si>
    <t>Deeltijdfactor in procenten</t>
  </si>
  <si>
    <t>Auto km per jaar</t>
  </si>
  <si>
    <t>Fiets km per jaar</t>
  </si>
  <si>
    <t>Woont de predikant in de pastorie?</t>
  </si>
  <si>
    <t>Vergoeding voor studeerkamer per jaar</t>
  </si>
  <si>
    <t>Traktement volgens tabel</t>
  </si>
  <si>
    <t>Traktement</t>
  </si>
  <si>
    <t>Netto grondslag inhouding emeritaat</t>
  </si>
  <si>
    <t>Inhouding emeritaat</t>
  </si>
  <si>
    <t>Subtotaal</t>
  </si>
  <si>
    <t>Bijdrage zorgverzekering</t>
  </si>
  <si>
    <t>Vergoeding representatiekosten</t>
  </si>
  <si>
    <t>Vergoeding administratie- en bureaukosten</t>
  </si>
  <si>
    <t>Vergoeding vakliteratuur</t>
  </si>
  <si>
    <t>Vergoeding autokosten € 0,35 per km</t>
  </si>
  <si>
    <t>Vergoeding fietskosten € 0,05 per km</t>
  </si>
  <si>
    <t>Inhouding voor pastorie</t>
  </si>
  <si>
    <t>Vergoeding voor studeerkamer</t>
  </si>
  <si>
    <t>Aan predikant uit te betalen bedrag</t>
  </si>
  <si>
    <t>Aantal leden per predikant</t>
  </si>
  <si>
    <t>&lt; 350 leden</t>
  </si>
  <si>
    <t>350-550 leden</t>
  </si>
  <si>
    <t>&gt; 550 leden</t>
  </si>
  <si>
    <t>€</t>
  </si>
  <si>
    <t>Pensioenfonds Zorg en Welzijn</t>
  </si>
  <si>
    <t>ja</t>
  </si>
  <si>
    <t>Vergoeding mobiele telefoon</t>
  </si>
  <si>
    <t>Vergoeding mobiele telefoon per jaar</t>
  </si>
  <si>
    <t>Vergoeding vaste telefoon per jaar</t>
  </si>
  <si>
    <t>Vergoeding vaste telefoon</t>
  </si>
  <si>
    <t>zie punt 10 van de regeling</t>
  </si>
  <si>
    <t>Nederlands Gereformeerde Instelling Arbeidszaken (NGA)
Rekenmodel traktementen en vergoedingen 2016</t>
  </si>
  <si>
    <t>Berekeningen</t>
  </si>
  <si>
    <t>Franchise voltijd</t>
  </si>
  <si>
    <t>Franchise deeltijd</t>
  </si>
  <si>
    <t>f</t>
  </si>
  <si>
    <t>g</t>
  </si>
  <si>
    <t>a</t>
  </si>
  <si>
    <t>b</t>
  </si>
  <si>
    <t>c</t>
  </si>
  <si>
    <t>Jaartraktement</t>
  </si>
  <si>
    <t>Vakantietoeslag 8%</t>
  </si>
  <si>
    <t>d</t>
  </si>
  <si>
    <t>Bruto grondslag inhouding emeritaat (c)</t>
  </si>
  <si>
    <t>e</t>
  </si>
  <si>
    <t>h</t>
  </si>
  <si>
    <t>i</t>
  </si>
  <si>
    <t>Inhouding 9% van h</t>
  </si>
  <si>
    <t>af: franchise (g)</t>
  </si>
  <si>
    <t>Totaal per jaar</t>
  </si>
  <si>
    <t>j</t>
  </si>
  <si>
    <t>Subtotaal na inhouding emeritaat (c - i)</t>
  </si>
  <si>
    <t>maximale grondslag</t>
  </si>
  <si>
    <t>m</t>
  </si>
  <si>
    <t>l</t>
  </si>
  <si>
    <t>Grondslag bijdrage zorgverzekering (min j, m)</t>
  </si>
  <si>
    <t>n</t>
  </si>
  <si>
    <t>Bijdrage zorgverzekering 6,75% van l</t>
  </si>
  <si>
    <t>Maandbedragen</t>
  </si>
  <si>
    <t>Jaarbedragen</t>
  </si>
  <si>
    <t>Vakantietoeslag 8%, jaarlijks in mei</t>
  </si>
  <si>
    <t>nee</t>
  </si>
  <si>
    <t>Naam van de predikant</t>
  </si>
  <si>
    <t>Vult u de onderstaande tien vragen in. Daaronder ziet u de berekende maand- en jaarbedragen. De sheet Berekeningen toont de berekening van de inhouding emeritaat en van de bijdrage zorgverzekering.</t>
  </si>
  <si>
    <t>- het voltijds traktement/salaris (inclusief de vakantietoeslag)</t>
  </si>
  <si>
    <t>- de deeltijdfactor</t>
  </si>
  <si>
    <t>De penningmeester moet het traktement opgeven ten behoeve van de pensioenopbouw bij het pensioenfonds. Dat gebeurt door via www.pfzw.nl/werkgevers/ in te loggen op de Onlinedesk. 
Daar moeten worden opgegeven:</t>
  </si>
  <si>
    <t>van 350 tot 550</t>
  </si>
  <si>
    <t>vanaf 550</t>
  </si>
  <si>
    <t>rekenmodel 2016, Excel, layout gewijzigd 25-03-2016</t>
  </si>
  <si>
    <t>minder dan 350</t>
  </si>
</sst>
</file>

<file path=xl/styles.xml><?xml version="1.0" encoding="utf-8"?>
<styleSheet xmlns="http://schemas.openxmlformats.org/spreadsheetml/2006/main">
  <fonts count="6">
    <font>
      <sz val="10"/>
      <name val="Courier New"/>
    </font>
    <font>
      <sz val="10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4" fontId="2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0" xfId="0" applyNumberFormat="1" applyFont="1" applyBorder="1"/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0" xfId="0" applyNumberFormat="1" applyFont="1"/>
    <xf numFmtId="1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horizontal="center"/>
    </xf>
    <xf numFmtId="3" fontId="2" fillId="0" borderId="0" xfId="1" applyNumberFormat="1" applyFont="1"/>
    <xf numFmtId="4" fontId="2" fillId="0" borderId="20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/>
    <xf numFmtId="4" fontId="4" fillId="0" borderId="0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24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left" vertical="center" wrapText="1"/>
    </xf>
    <xf numFmtId="0" fontId="3" fillId="0" borderId="0" xfId="0" quotePrefix="1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27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/>
    </xf>
    <xf numFmtId="4" fontId="4" fillId="0" borderId="15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8" xfId="0" quotePrefix="1" applyNumberFormat="1" applyFont="1" applyBorder="1" applyAlignment="1">
      <alignment horizontal="left" vertical="center"/>
    </xf>
    <xf numFmtId="4" fontId="2" fillId="0" borderId="29" xfId="0" applyNumberFormat="1" applyFont="1" applyBorder="1" applyAlignment="1">
      <alignment horizontal="left"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quotePrefix="1" applyNumberFormat="1" applyFont="1" applyBorder="1" applyAlignment="1">
      <alignment horizontal="left" vertical="center"/>
    </xf>
    <xf numFmtId="4" fontId="2" fillId="0" borderId="32" xfId="0" applyNumberFormat="1" applyFont="1" applyBorder="1" applyAlignment="1">
      <alignment horizontal="left" vertical="center"/>
    </xf>
    <xf numFmtId="2" fontId="2" fillId="0" borderId="33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1"/>
  <sheetViews>
    <sheetView tabSelected="1" zoomScaleNormal="100" workbookViewId="0">
      <selection activeCell="B3" sqref="B3:D3"/>
    </sheetView>
  </sheetViews>
  <sheetFormatPr defaultColWidth="12.75" defaultRowHeight="12.75"/>
  <cols>
    <col min="1" max="1" width="36.625" style="16" customWidth="1"/>
    <col min="2" max="4" width="16.625" style="16" customWidth="1"/>
    <col min="5" max="16384" width="12.75" style="16"/>
  </cols>
  <sheetData>
    <row r="1" spans="1:4" ht="47.25" customHeight="1">
      <c r="A1" s="52" t="s">
        <v>33</v>
      </c>
      <c r="B1" s="53"/>
      <c r="C1" s="53"/>
      <c r="D1" s="54"/>
    </row>
    <row r="2" spans="1:4" ht="47.25" customHeight="1">
      <c r="A2" s="55" t="s">
        <v>65</v>
      </c>
      <c r="B2" s="55"/>
      <c r="C2" s="55"/>
      <c r="D2" s="55"/>
    </row>
    <row r="3" spans="1:4" ht="21" customHeight="1">
      <c r="A3" s="43" t="s">
        <v>64</v>
      </c>
      <c r="B3" s="56"/>
      <c r="C3" s="57"/>
      <c r="D3" s="58"/>
    </row>
    <row r="4" spans="1:4" s="1" customFormat="1" ht="21" customHeight="1">
      <c r="A4" s="1" t="s">
        <v>0</v>
      </c>
      <c r="B4" s="41" t="s">
        <v>69</v>
      </c>
    </row>
    <row r="5" spans="1:4" s="1" customFormat="1" ht="21" customHeight="1">
      <c r="A5" s="1" t="s">
        <v>1</v>
      </c>
      <c r="B5" s="17">
        <v>10</v>
      </c>
    </row>
    <row r="6" spans="1:4" s="1" customFormat="1" ht="21" customHeight="1">
      <c r="A6" s="1" t="s">
        <v>2</v>
      </c>
      <c r="B6" s="18">
        <v>1</v>
      </c>
    </row>
    <row r="7" spans="1:4" s="1" customFormat="1" ht="21" customHeight="1">
      <c r="A7" s="1" t="s">
        <v>3</v>
      </c>
      <c r="B7" s="42"/>
    </row>
    <row r="8" spans="1:4" s="1" customFormat="1" ht="21" customHeight="1">
      <c r="A8" s="1" t="s">
        <v>4</v>
      </c>
      <c r="B8" s="42"/>
    </row>
    <row r="9" spans="1:4" s="1" customFormat="1" ht="21" customHeight="1">
      <c r="A9" s="1" t="s">
        <v>30</v>
      </c>
      <c r="B9" s="42"/>
      <c r="C9" s="1" t="s">
        <v>32</v>
      </c>
    </row>
    <row r="10" spans="1:4" s="1" customFormat="1" ht="21" customHeight="1">
      <c r="A10" s="1" t="s">
        <v>29</v>
      </c>
      <c r="B10" s="42"/>
      <c r="C10" s="1" t="s">
        <v>32</v>
      </c>
    </row>
    <row r="11" spans="1:4" s="1" customFormat="1" ht="21" customHeight="1">
      <c r="A11" s="1" t="s">
        <v>5</v>
      </c>
      <c r="B11" s="38" t="s">
        <v>27</v>
      </c>
    </row>
    <row r="12" spans="1:4" s="1" customFormat="1" ht="21" customHeight="1">
      <c r="A12" s="1" t="s">
        <v>6</v>
      </c>
      <c r="B12" s="42">
        <v>0</v>
      </c>
      <c r="C12" s="51" t="str">
        <f>IF(B11="nee","Als de predikant zelf in zijn werkruimte voorziet dient daar een financiële vergoeding tegenover te staan. Zie WAP-regeling par.20.",
IF(ISBLANK(B11),"",
IF(B12&lt;&gt;0,"Vergoeding voor studeerkamer alleen invullen als de predikant niet in de pastorie woont","")))</f>
        <v/>
      </c>
      <c r="D12" s="51"/>
    </row>
    <row r="13" spans="1:4" s="1" customFormat="1" ht="21" customHeight="1">
      <c r="B13" s="2"/>
      <c r="C13" s="51"/>
      <c r="D13" s="51"/>
    </row>
    <row r="14" spans="1:4" ht="31.5" customHeight="1">
      <c r="A14" s="3"/>
      <c r="B14" s="44" t="s">
        <v>60</v>
      </c>
      <c r="C14" s="44" t="s">
        <v>61</v>
      </c>
      <c r="D14" s="4"/>
    </row>
    <row r="15" spans="1:4" ht="21.6" customHeight="1">
      <c r="A15" s="8" t="s">
        <v>7</v>
      </c>
      <c r="B15" s="5">
        <f ca="1">OFFSET(Traktementstabel!A4,B5,MATCH(B4,Rekenmodel!A41:A43,0))</f>
        <v>4275</v>
      </c>
      <c r="C15" s="6"/>
      <c r="D15" s="4"/>
    </row>
    <row r="16" spans="1:4" ht="21.6" customHeight="1">
      <c r="A16" s="12" t="s">
        <v>8</v>
      </c>
      <c r="B16" s="7">
        <f ca="1">B15*B6</f>
        <v>4275</v>
      </c>
      <c r="C16" s="8">
        <f ca="1">B16*12</f>
        <v>51300</v>
      </c>
      <c r="D16" s="4"/>
    </row>
    <row r="17" spans="1:4" ht="21.6" customHeight="1">
      <c r="A17" s="12" t="s">
        <v>10</v>
      </c>
      <c r="B17" s="46">
        <f ca="1">C17/12</f>
        <v>-330.07</v>
      </c>
      <c r="C17" s="47">
        <f ca="1">-Berekeningen!C9</f>
        <v>-3960.81</v>
      </c>
      <c r="D17" s="4"/>
    </row>
    <row r="18" spans="1:4" ht="21.6" customHeight="1">
      <c r="A18" s="12" t="s">
        <v>11</v>
      </c>
      <c r="B18" s="9">
        <f ca="1">SUM(B16:B17)</f>
        <v>3944.93</v>
      </c>
      <c r="C18" s="10">
        <f ca="1">SUM(C16:C17)</f>
        <v>47339.19</v>
      </c>
      <c r="D18" s="4"/>
    </row>
    <row r="19" spans="1:4" ht="21.6" customHeight="1">
      <c r="A19" s="12" t="s">
        <v>12</v>
      </c>
      <c r="B19" s="11">
        <f t="shared" ref="B19:B28" ca="1" si="0">C19/12</f>
        <v>289.37</v>
      </c>
      <c r="C19" s="12">
        <f ca="1">Berekeningen!C13</f>
        <v>3472.42</v>
      </c>
      <c r="D19" s="4"/>
    </row>
    <row r="20" spans="1:4" ht="21.6" customHeight="1">
      <c r="A20" s="12" t="s">
        <v>13</v>
      </c>
      <c r="B20" s="11">
        <f t="shared" si="0"/>
        <v>75</v>
      </c>
      <c r="C20" s="12">
        <f>900*B6</f>
        <v>900</v>
      </c>
      <c r="D20" s="4"/>
    </row>
    <row r="21" spans="1:4" ht="21.6" customHeight="1">
      <c r="A21" s="12" t="s">
        <v>14</v>
      </c>
      <c r="B21" s="11">
        <f t="shared" si="0"/>
        <v>66.67</v>
      </c>
      <c r="C21" s="12">
        <v>800</v>
      </c>
      <c r="D21" s="4"/>
    </row>
    <row r="22" spans="1:4" ht="21.6" customHeight="1">
      <c r="A22" s="12" t="s">
        <v>15</v>
      </c>
      <c r="B22" s="11">
        <f t="shared" si="0"/>
        <v>83.33</v>
      </c>
      <c r="C22" s="12">
        <v>1000</v>
      </c>
      <c r="D22" s="4"/>
    </row>
    <row r="23" spans="1:4" ht="21.6" customHeight="1">
      <c r="A23" s="12" t="s">
        <v>16</v>
      </c>
      <c r="B23" s="11">
        <f t="shared" si="0"/>
        <v>0</v>
      </c>
      <c r="C23" s="12">
        <f>0.35*B7</f>
        <v>0</v>
      </c>
      <c r="D23" s="4"/>
    </row>
    <row r="24" spans="1:4" ht="21.6" customHeight="1">
      <c r="A24" s="12" t="s">
        <v>17</v>
      </c>
      <c r="B24" s="11">
        <f t="shared" si="0"/>
        <v>0</v>
      </c>
      <c r="C24" s="12">
        <f>0.05*B8</f>
        <v>0</v>
      </c>
      <c r="D24" s="4"/>
    </row>
    <row r="25" spans="1:4" ht="21.6" customHeight="1">
      <c r="A25" s="12" t="s">
        <v>31</v>
      </c>
      <c r="B25" s="11">
        <f t="shared" si="0"/>
        <v>0</v>
      </c>
      <c r="C25" s="12">
        <f>B9</f>
        <v>0</v>
      </c>
      <c r="D25" s="4"/>
    </row>
    <row r="26" spans="1:4" ht="21.6" customHeight="1">
      <c r="A26" s="12" t="s">
        <v>28</v>
      </c>
      <c r="B26" s="11">
        <f t="shared" si="0"/>
        <v>0</v>
      </c>
      <c r="C26" s="12">
        <f>B10</f>
        <v>0</v>
      </c>
      <c r="D26" s="4"/>
    </row>
    <row r="27" spans="1:4" ht="21.6" customHeight="1">
      <c r="A27" s="12" t="s">
        <v>18</v>
      </c>
      <c r="B27" s="11">
        <f t="shared" ca="1" si="0"/>
        <v>-513</v>
      </c>
      <c r="C27" s="12">
        <f ca="1">-IF(B11="ja",12%*12*B15,0)</f>
        <v>-6156</v>
      </c>
      <c r="D27" s="4"/>
    </row>
    <row r="28" spans="1:4" ht="21.6" customHeight="1">
      <c r="A28" s="12" t="s">
        <v>19</v>
      </c>
      <c r="B28" s="46">
        <f t="shared" si="0"/>
        <v>0</v>
      </c>
      <c r="C28" s="47">
        <f>B12</f>
        <v>0</v>
      </c>
      <c r="D28" s="4"/>
    </row>
    <row r="29" spans="1:4" ht="21.6" customHeight="1" thickBot="1">
      <c r="A29" s="12" t="s">
        <v>20</v>
      </c>
      <c r="B29" s="48">
        <f ca="1">SUM(B18:B28)</f>
        <v>3946.3</v>
      </c>
      <c r="C29" s="10">
        <f ca="1">SUM(C18:C28)</f>
        <v>47355.61</v>
      </c>
      <c r="D29" s="4"/>
    </row>
    <row r="30" spans="1:4" ht="21.6" customHeight="1" thickTop="1">
      <c r="A30" s="32" t="s">
        <v>62</v>
      </c>
      <c r="B30" s="2"/>
      <c r="C30" s="47">
        <f ca="1">8%*C16</f>
        <v>4104</v>
      </c>
      <c r="D30" s="4"/>
    </row>
    <row r="31" spans="1:4" ht="21.6" customHeight="1" thickBot="1">
      <c r="B31" s="2"/>
      <c r="C31" s="49">
        <f ca="1">SUM(C29:C30)</f>
        <v>51459.61</v>
      </c>
      <c r="D31" s="4"/>
    </row>
    <row r="32" spans="1:4" ht="21" customHeight="1" thickTop="1"/>
    <row r="33" spans="1:7" ht="21" customHeight="1">
      <c r="A33" s="62" t="s">
        <v>26</v>
      </c>
      <c r="B33" s="63"/>
      <c r="C33" s="64"/>
      <c r="D33" s="45"/>
      <c r="E33" s="40"/>
      <c r="F33" s="40"/>
      <c r="G33" s="40"/>
    </row>
    <row r="34" spans="1:7" ht="52.5" customHeight="1">
      <c r="A34" s="59" t="s">
        <v>68</v>
      </c>
      <c r="B34" s="60"/>
      <c r="C34" s="61"/>
      <c r="D34" s="2"/>
    </row>
    <row r="35" spans="1:7" ht="21" customHeight="1">
      <c r="A35" s="71" t="s">
        <v>66</v>
      </c>
      <c r="B35" s="72"/>
      <c r="C35" s="73">
        <f ca="1">ROUNDUP(B15*12.96,0)</f>
        <v>55404</v>
      </c>
    </row>
    <row r="36" spans="1:7" ht="21" customHeight="1">
      <c r="A36" s="74" t="s">
        <v>67</v>
      </c>
      <c r="B36" s="75"/>
      <c r="C36" s="76">
        <f>B6</f>
        <v>1</v>
      </c>
      <c r="D36" s="50"/>
    </row>
    <row r="37" spans="1:7" ht="41.25" customHeight="1">
      <c r="A37" s="39" t="s">
        <v>71</v>
      </c>
      <c r="D37" s="50"/>
    </row>
    <row r="41" spans="1:7" ht="13.5">
      <c r="A41" t="s">
        <v>72</v>
      </c>
      <c r="B41"/>
    </row>
    <row r="42" spans="1:7" ht="13.5">
      <c r="A42" t="s">
        <v>69</v>
      </c>
      <c r="B42"/>
    </row>
    <row r="43" spans="1:7" ht="13.5">
      <c r="A43" t="s">
        <v>70</v>
      </c>
      <c r="B43"/>
      <c r="C43"/>
    </row>
    <row r="44" spans="1:7" ht="13.5">
      <c r="A44"/>
      <c r="B44"/>
      <c r="C44"/>
    </row>
    <row r="45" spans="1:7" ht="13.5">
      <c r="A45"/>
      <c r="B45"/>
      <c r="C45"/>
    </row>
    <row r="46" spans="1:7" ht="13.5">
      <c r="A46" t="s">
        <v>27</v>
      </c>
      <c r="B46"/>
      <c r="C46"/>
    </row>
    <row r="47" spans="1:7" ht="13.5">
      <c r="A47" t="s">
        <v>63</v>
      </c>
      <c r="B47"/>
      <c r="C47"/>
    </row>
    <row r="48" spans="1:7" ht="13.5">
      <c r="A48"/>
      <c r="B48"/>
      <c r="C48"/>
    </row>
    <row r="49" spans="1:3" ht="13.5">
      <c r="A49"/>
      <c r="B49"/>
      <c r="C49"/>
    </row>
    <row r="50" spans="1:3" ht="13.5">
      <c r="A50"/>
      <c r="B50"/>
      <c r="C50"/>
    </row>
    <row r="51" spans="1:3" ht="13.5">
      <c r="A51"/>
      <c r="B51"/>
      <c r="C51"/>
    </row>
    <row r="52" spans="1:3" ht="13.5">
      <c r="A52"/>
      <c r="B52"/>
      <c r="C52"/>
    </row>
    <row r="53" spans="1:3" ht="13.5">
      <c r="A53"/>
      <c r="B53"/>
      <c r="C53"/>
    </row>
    <row r="54" spans="1:3" ht="13.5">
      <c r="A54"/>
      <c r="B54"/>
      <c r="C54"/>
    </row>
    <row r="55" spans="1:3" ht="13.5">
      <c r="A55"/>
      <c r="B55"/>
      <c r="C55"/>
    </row>
    <row r="56" spans="1:3" ht="13.5">
      <c r="A56"/>
      <c r="B56"/>
      <c r="C56"/>
    </row>
    <row r="57" spans="1:3" ht="13.5">
      <c r="A57"/>
      <c r="B57"/>
      <c r="C57"/>
    </row>
    <row r="58" spans="1:3" ht="13.5">
      <c r="A58"/>
      <c r="B58"/>
      <c r="C58"/>
    </row>
    <row r="59" spans="1:3" ht="13.5">
      <c r="A59"/>
      <c r="B59"/>
      <c r="C59"/>
    </row>
    <row r="60" spans="1:3" ht="13.5">
      <c r="A60"/>
      <c r="B60"/>
      <c r="C60"/>
    </row>
    <row r="61" spans="1:3" ht="13.5">
      <c r="A61"/>
      <c r="B61"/>
      <c r="C61"/>
    </row>
  </sheetData>
  <mergeCells count="8">
    <mergeCell ref="A35:B35"/>
    <mergeCell ref="A36:B36"/>
    <mergeCell ref="C12:D13"/>
    <mergeCell ref="A1:D1"/>
    <mergeCell ref="A2:D2"/>
    <mergeCell ref="B3:D3"/>
    <mergeCell ref="A34:C34"/>
    <mergeCell ref="A33:C33"/>
  </mergeCells>
  <phoneticPr fontId="0" type="noConversion"/>
  <dataValidations count="6">
    <dataValidation type="whole" operator="greaterThanOrEqual" showInputMessage="1" showErrorMessage="1" sqref="B12 B7:B8">
      <formula1>0</formula1>
    </dataValidation>
    <dataValidation type="list" allowBlank="1" showInputMessage="1" showErrorMessage="1" sqref="B11">
      <formula1>$A$46:$A$47</formula1>
    </dataValidation>
    <dataValidation type="whole" operator="greaterThanOrEqual" allowBlank="1" showInputMessage="1" showErrorMessage="1" sqref="B9:B10">
      <formula1>0</formula1>
    </dataValidation>
    <dataValidation type="decimal" allowBlank="1" showInputMessage="1" showErrorMessage="1" error="deeltijd tussen 10% en 110%" sqref="B6">
      <formula1>0.1</formula1>
      <formula2>1.1</formula2>
    </dataValidation>
    <dataValidation type="whole" allowBlank="1" showInputMessage="1" showErrorMessage="1" sqref="B5">
      <formula1>0</formula1>
      <formula2>20</formula2>
    </dataValidation>
    <dataValidation type="list" allowBlank="1" showInputMessage="1" showErrorMessage="1" sqref="B4">
      <formula1>$A$41:$A$43</formula1>
    </dataValidation>
  </dataValidations>
  <pageMargins left="0.51181102362204722" right="0.51181102362204722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Normal="100" workbookViewId="0">
      <selection activeCell="C2" sqref="C2"/>
    </sheetView>
  </sheetViews>
  <sheetFormatPr defaultColWidth="12.75" defaultRowHeight="12.75"/>
  <cols>
    <col min="1" max="1" width="3.75" style="21" customWidth="1"/>
    <col min="2" max="2" width="33" style="16" customWidth="1"/>
    <col min="3" max="3" width="14.125" style="16" customWidth="1"/>
    <col min="4" max="4" width="3.75" style="16" customWidth="1"/>
    <col min="5" max="5" width="14.125" style="16" customWidth="1"/>
    <col min="6" max="6" width="3.75" style="16" customWidth="1"/>
    <col min="7" max="7" width="14.125" style="16" customWidth="1"/>
    <col min="8" max="16384" width="12.75" style="16"/>
  </cols>
  <sheetData>
    <row r="1" spans="1:7" ht="25.5" customHeight="1">
      <c r="A1" s="66" t="s">
        <v>34</v>
      </c>
      <c r="B1" s="67"/>
      <c r="C1" s="67"/>
      <c r="D1" s="67"/>
      <c r="E1" s="67"/>
      <c r="F1" s="67"/>
      <c r="G1" s="68"/>
    </row>
    <row r="2" spans="1:7" s="1" customFormat="1" ht="25.5" customHeight="1">
      <c r="A2" s="33" t="s">
        <v>39</v>
      </c>
      <c r="B2" s="23" t="s">
        <v>42</v>
      </c>
      <c r="C2" s="8">
        <f ca="1">Rekenmodel!C16</f>
        <v>51300</v>
      </c>
      <c r="D2" s="2"/>
      <c r="E2" s="2"/>
      <c r="F2" s="2"/>
      <c r="G2" s="20"/>
    </row>
    <row r="3" spans="1:7" s="1" customFormat="1" ht="25.5" customHeight="1">
      <c r="A3" s="34" t="s">
        <v>40</v>
      </c>
      <c r="B3" s="35" t="s">
        <v>43</v>
      </c>
      <c r="C3" s="13">
        <f ca="1">C2*8%</f>
        <v>4104</v>
      </c>
      <c r="D3" s="2"/>
      <c r="E3" s="2"/>
      <c r="F3" s="2"/>
      <c r="G3" s="20"/>
    </row>
    <row r="4" spans="1:7" s="1" customFormat="1" ht="25.5" customHeight="1" thickBot="1">
      <c r="A4" s="36" t="s">
        <v>41</v>
      </c>
      <c r="B4" s="24" t="s">
        <v>51</v>
      </c>
      <c r="C4" s="15">
        <f ca="1">C2+C3</f>
        <v>55404</v>
      </c>
      <c r="D4" s="2"/>
      <c r="E4" s="2"/>
      <c r="F4" s="2"/>
      <c r="G4" s="20"/>
    </row>
    <row r="5" spans="1:7" s="1" customFormat="1" ht="11.1" customHeight="1" thickTop="1">
      <c r="A5" s="21"/>
      <c r="B5" s="22"/>
      <c r="C5" s="2"/>
      <c r="D5" s="2"/>
      <c r="E5" s="2"/>
      <c r="F5" s="2"/>
      <c r="G5" s="20"/>
    </row>
    <row r="6" spans="1:7" s="1" customFormat="1" ht="25.5" customHeight="1">
      <c r="A6" s="33" t="s">
        <v>44</v>
      </c>
      <c r="B6" s="23" t="s">
        <v>45</v>
      </c>
      <c r="C6" s="23">
        <f ca="1">C4</f>
        <v>55404</v>
      </c>
      <c r="D6" s="65" t="s">
        <v>35</v>
      </c>
      <c r="E6" s="65"/>
      <c r="F6" s="65" t="s">
        <v>36</v>
      </c>
      <c r="G6" s="65"/>
    </row>
    <row r="7" spans="1:7" s="1" customFormat="1" ht="25.5" customHeight="1">
      <c r="A7" s="34" t="s">
        <v>46</v>
      </c>
      <c r="B7" s="35" t="s">
        <v>50</v>
      </c>
      <c r="C7" s="24">
        <f>-G7</f>
        <v>-11395</v>
      </c>
      <c r="D7" s="19" t="s">
        <v>37</v>
      </c>
      <c r="E7" s="5">
        <v>11395</v>
      </c>
      <c r="F7" s="19" t="s">
        <v>38</v>
      </c>
      <c r="G7" s="5">
        <f>E7*Rekenmodel!B6</f>
        <v>11395</v>
      </c>
    </row>
    <row r="8" spans="1:7" s="1" customFormat="1" ht="25.5" customHeight="1" thickBot="1">
      <c r="A8" s="34" t="s">
        <v>47</v>
      </c>
      <c r="B8" s="35" t="s">
        <v>9</v>
      </c>
      <c r="C8" s="15">
        <f ca="1">C6+C7</f>
        <v>44009</v>
      </c>
      <c r="D8" s="2"/>
      <c r="E8" s="2"/>
      <c r="F8" s="2"/>
      <c r="G8" s="20"/>
    </row>
    <row r="9" spans="1:7" s="1" customFormat="1" ht="25.5" customHeight="1" thickTop="1">
      <c r="A9" s="36" t="s">
        <v>48</v>
      </c>
      <c r="B9" s="24" t="s">
        <v>49</v>
      </c>
      <c r="C9" s="26">
        <f ca="1">9%*C8</f>
        <v>3960.81</v>
      </c>
      <c r="D9" s="2"/>
      <c r="E9" s="2"/>
      <c r="F9" s="2"/>
      <c r="G9" s="20"/>
    </row>
    <row r="10" spans="1:7" s="1" customFormat="1" ht="25.5" customHeight="1">
      <c r="A10" s="21"/>
      <c r="B10" s="14"/>
      <c r="C10" s="2"/>
      <c r="D10" s="2"/>
      <c r="E10" s="2"/>
      <c r="F10" s="2"/>
      <c r="G10" s="20"/>
    </row>
    <row r="11" spans="1:7" s="1" customFormat="1" ht="25.5" customHeight="1">
      <c r="A11" s="33" t="s">
        <v>52</v>
      </c>
      <c r="B11" s="23" t="s">
        <v>53</v>
      </c>
      <c r="C11" s="8">
        <f ca="1">C4-C9</f>
        <v>51443.19</v>
      </c>
      <c r="D11" s="69" t="s">
        <v>54</v>
      </c>
      <c r="E11" s="70"/>
      <c r="F11" s="2"/>
      <c r="G11" s="20"/>
    </row>
    <row r="12" spans="1:7" s="1" customFormat="1" ht="25.5" customHeight="1">
      <c r="A12" s="34" t="s">
        <v>56</v>
      </c>
      <c r="B12" s="35" t="s">
        <v>57</v>
      </c>
      <c r="C12" s="12">
        <f ca="1">MIN(C11,E12)</f>
        <v>51443.19</v>
      </c>
      <c r="D12" s="27" t="s">
        <v>55</v>
      </c>
      <c r="E12" s="5">
        <v>52765</v>
      </c>
      <c r="F12" s="2"/>
      <c r="G12" s="20"/>
    </row>
    <row r="13" spans="1:7" s="1" customFormat="1" ht="25.5" customHeight="1">
      <c r="A13" s="36" t="s">
        <v>58</v>
      </c>
      <c r="B13" s="24" t="s">
        <v>59</v>
      </c>
      <c r="C13" s="37">
        <f ca="1">6.75%*C12</f>
        <v>3472.42</v>
      </c>
      <c r="D13" s="2"/>
      <c r="E13" s="2"/>
      <c r="F13" s="2"/>
      <c r="G13" s="20"/>
    </row>
    <row r="14" spans="1:7" s="1" customFormat="1" ht="25.5" customHeight="1">
      <c r="A14" s="21"/>
      <c r="B14" s="3"/>
      <c r="C14" s="3"/>
      <c r="D14" s="3"/>
      <c r="E14" s="3"/>
      <c r="F14" s="3"/>
      <c r="G14" s="25"/>
    </row>
    <row r="15" spans="1:7" ht="13.5" customHeight="1"/>
    <row r="16" spans="1:7" ht="13.5" customHeight="1"/>
    <row r="17" ht="13.5" customHeight="1"/>
    <row r="18" ht="13.5" customHeight="1"/>
  </sheetData>
  <mergeCells count="4">
    <mergeCell ref="D6:E6"/>
    <mergeCell ref="F6:G6"/>
    <mergeCell ref="A1:G1"/>
    <mergeCell ref="D11:E11"/>
  </mergeCells>
  <pageMargins left="0.51181102362204722" right="0.51181102362204722" top="0.39370078740157483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24"/>
  <sheetViews>
    <sheetView workbookViewId="0">
      <selection activeCell="B4" sqref="B4"/>
    </sheetView>
  </sheetViews>
  <sheetFormatPr defaultColWidth="12.625" defaultRowHeight="12.75"/>
  <cols>
    <col min="1" max="1" width="16.375" style="29" customWidth="1"/>
    <col min="2" max="4" width="16.625" style="29" customWidth="1"/>
    <col min="5" max="16384" width="12.625" style="29"/>
  </cols>
  <sheetData>
    <row r="1" spans="1:4" ht="25.5">
      <c r="A1" s="28" t="s">
        <v>21</v>
      </c>
      <c r="B1" s="28" t="s">
        <v>22</v>
      </c>
      <c r="C1" s="28" t="s">
        <v>23</v>
      </c>
      <c r="D1" s="28" t="s">
        <v>24</v>
      </c>
    </row>
    <row r="2" spans="1:4">
      <c r="A2" s="28"/>
      <c r="B2" s="28"/>
      <c r="C2" s="28"/>
      <c r="D2" s="28"/>
    </row>
    <row r="3" spans="1:4">
      <c r="A3" s="30" t="s">
        <v>1</v>
      </c>
      <c r="B3" s="30" t="s">
        <v>25</v>
      </c>
      <c r="C3" s="30" t="s">
        <v>25</v>
      </c>
      <c r="D3" s="30" t="s">
        <v>25</v>
      </c>
    </row>
    <row r="4" spans="1:4">
      <c r="A4" s="29">
        <v>0</v>
      </c>
      <c r="B4" s="31">
        <v>3031</v>
      </c>
      <c r="C4" s="31">
        <v>3566</v>
      </c>
      <c r="D4" s="31">
        <v>3708</v>
      </c>
    </row>
    <row r="5" spans="1:4">
      <c r="A5" s="29">
        <v>1</v>
      </c>
      <c r="B5" s="31">
        <v>3183</v>
      </c>
      <c r="C5" s="31">
        <v>3645</v>
      </c>
      <c r="D5" s="31">
        <v>3790</v>
      </c>
    </row>
    <row r="6" spans="1:4">
      <c r="A6" s="29">
        <v>2</v>
      </c>
      <c r="B6" s="31">
        <v>3259</v>
      </c>
      <c r="C6" s="31">
        <v>3708</v>
      </c>
      <c r="D6" s="31">
        <v>3870</v>
      </c>
    </row>
    <row r="7" spans="1:4">
      <c r="A7" s="29">
        <v>3</v>
      </c>
      <c r="B7" s="31">
        <v>3416</v>
      </c>
      <c r="C7" s="31">
        <v>3790</v>
      </c>
      <c r="D7" s="31">
        <v>3949</v>
      </c>
    </row>
    <row r="8" spans="1:4">
      <c r="A8" s="29">
        <v>4</v>
      </c>
      <c r="B8" s="31">
        <v>3561</v>
      </c>
      <c r="C8" s="31">
        <v>3850</v>
      </c>
      <c r="D8" s="31">
        <v>4053</v>
      </c>
    </row>
    <row r="9" spans="1:4">
      <c r="A9" s="29">
        <v>5</v>
      </c>
      <c r="B9" s="31">
        <v>3628</v>
      </c>
      <c r="C9" s="31">
        <v>3911</v>
      </c>
      <c r="D9" s="31">
        <v>4158</v>
      </c>
    </row>
    <row r="10" spans="1:4">
      <c r="A10" s="29">
        <v>6</v>
      </c>
      <c r="B10" s="31">
        <v>3708</v>
      </c>
      <c r="C10" s="31">
        <v>3972</v>
      </c>
      <c r="D10" s="31">
        <v>4260</v>
      </c>
    </row>
    <row r="11" spans="1:4">
      <c r="A11" s="29">
        <v>7</v>
      </c>
      <c r="B11" s="31">
        <v>3790</v>
      </c>
      <c r="C11" s="31">
        <v>4033</v>
      </c>
      <c r="D11" s="31">
        <v>4366</v>
      </c>
    </row>
    <row r="12" spans="1:4">
      <c r="A12" s="29">
        <v>8</v>
      </c>
      <c r="B12" s="31">
        <v>3870</v>
      </c>
      <c r="C12" s="31">
        <v>4114</v>
      </c>
      <c r="D12" s="31">
        <v>4438</v>
      </c>
    </row>
    <row r="13" spans="1:4">
      <c r="A13" s="29">
        <v>9</v>
      </c>
      <c r="B13" s="31">
        <v>3949</v>
      </c>
      <c r="C13" s="31">
        <v>4195</v>
      </c>
      <c r="D13" s="31">
        <v>4555</v>
      </c>
    </row>
    <row r="14" spans="1:4">
      <c r="A14" s="29">
        <v>10</v>
      </c>
      <c r="B14" s="31">
        <v>4033</v>
      </c>
      <c r="C14" s="31">
        <v>4275</v>
      </c>
      <c r="D14" s="31">
        <v>4686</v>
      </c>
    </row>
    <row r="15" spans="1:4">
      <c r="A15" s="29">
        <v>11</v>
      </c>
      <c r="B15" s="31">
        <v>4114</v>
      </c>
      <c r="C15" s="31">
        <v>4366</v>
      </c>
      <c r="D15" s="31">
        <v>4801</v>
      </c>
    </row>
    <row r="16" spans="1:4">
      <c r="A16" s="29">
        <v>12</v>
      </c>
      <c r="B16" s="31">
        <v>4194</v>
      </c>
      <c r="C16" s="31">
        <v>4438</v>
      </c>
      <c r="D16" s="31">
        <v>4924</v>
      </c>
    </row>
    <row r="17" spans="1:4">
      <c r="A17" s="29">
        <v>13</v>
      </c>
      <c r="B17" s="31">
        <v>4258</v>
      </c>
      <c r="C17" s="31">
        <v>4520</v>
      </c>
      <c r="D17" s="31">
        <v>5043</v>
      </c>
    </row>
    <row r="18" spans="1:4">
      <c r="A18" s="29">
        <v>14</v>
      </c>
      <c r="B18" s="31">
        <v>4316</v>
      </c>
      <c r="C18" s="31">
        <v>4599</v>
      </c>
      <c r="D18" s="31">
        <v>5190</v>
      </c>
    </row>
    <row r="19" spans="1:4">
      <c r="A19" s="29">
        <v>15</v>
      </c>
      <c r="B19" s="31">
        <v>4356</v>
      </c>
      <c r="C19" s="31">
        <v>4686</v>
      </c>
      <c r="D19" s="31">
        <v>5281</v>
      </c>
    </row>
    <row r="20" spans="1:4">
      <c r="A20" s="29">
        <v>16</v>
      </c>
      <c r="B20" s="31">
        <v>4420</v>
      </c>
      <c r="C20" s="31">
        <v>4801</v>
      </c>
      <c r="D20" s="31">
        <v>5419</v>
      </c>
    </row>
    <row r="21" spans="1:4">
      <c r="A21" s="29">
        <v>17</v>
      </c>
      <c r="B21" s="31">
        <v>4484</v>
      </c>
      <c r="C21" s="31">
        <v>4924</v>
      </c>
      <c r="D21" s="31">
        <v>5474</v>
      </c>
    </row>
    <row r="22" spans="1:4">
      <c r="A22" s="29">
        <v>18</v>
      </c>
      <c r="B22" s="31">
        <v>4549</v>
      </c>
      <c r="C22" s="31">
        <v>4976</v>
      </c>
      <c r="D22" s="31">
        <v>5542</v>
      </c>
    </row>
    <row r="23" spans="1:4">
      <c r="A23" s="29">
        <v>19</v>
      </c>
      <c r="B23" s="31">
        <v>4616</v>
      </c>
      <c r="C23" s="31">
        <v>5043</v>
      </c>
      <c r="D23" s="31">
        <v>5621</v>
      </c>
    </row>
    <row r="24" spans="1:4">
      <c r="A24" s="29">
        <v>20</v>
      </c>
      <c r="B24" s="31">
        <v>4686</v>
      </c>
      <c r="C24" s="31">
        <v>5103</v>
      </c>
      <c r="D24" s="31">
        <v>5733</v>
      </c>
    </row>
  </sheetData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9" ma:contentTypeDescription="Een nieuw document maken." ma:contentTypeScope="" ma:versionID="85cfa0c2ce169b7c511a282464342d4f">
  <xsd:schema xmlns:xsd="http://www.w3.org/2001/XMLSchema" xmlns:xs="http://www.w3.org/2001/XMLSchema" xmlns:p="http://schemas.microsoft.com/office/2006/metadata/properties" xmlns:ns2="bdf8f3cc-2e16-402e-aa70-8325446701b1" targetNamespace="http://schemas.microsoft.com/office/2006/metadata/properties" ma:root="true" ma:fieldsID="7bb62fd834ac7bb0c3d0fff97a88c791" ns2:_="">
    <xsd:import namespace="bdf8f3cc-2e16-402e-aa70-8325446701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4FA8D4-CB1E-47DB-8EAB-C6593D686828}"/>
</file>

<file path=customXml/itemProps2.xml><?xml version="1.0" encoding="utf-8"?>
<ds:datastoreItem xmlns:ds="http://schemas.openxmlformats.org/officeDocument/2006/customXml" ds:itemID="{F553B8B9-F55D-46C8-A46D-2BBC3281777B}"/>
</file>

<file path=customXml/itemProps3.xml><?xml version="1.0" encoding="utf-8"?>
<ds:datastoreItem xmlns:ds="http://schemas.openxmlformats.org/officeDocument/2006/customXml" ds:itemID="{5089E61B-4668-4EC1-96A9-D19C28E654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Rekenmodel</vt:lpstr>
      <vt:lpstr>Berekeningen</vt:lpstr>
      <vt:lpstr>Traktementstabel</vt:lpstr>
      <vt:lpstr>Rekenmodel!Print_Area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van Rees</dc:creator>
  <cp:lastModifiedBy>H. van Rees</cp:lastModifiedBy>
  <cp:lastPrinted>2016-03-25T15:47:55Z</cp:lastPrinted>
  <dcterms:created xsi:type="dcterms:W3CDTF">2003-11-21T19:44:55Z</dcterms:created>
  <dcterms:modified xsi:type="dcterms:W3CDTF">2016-03-25T16:40:01Z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0x010100D66E91BE9719214CBE985C35E58EB2FD</vt:lpwstr>
  </property>
</Properties>
</file>